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2320" windowHeight="12045" tabRatio="453"/>
  </bookViews>
  <sheets>
    <sheet name="7-11" sheetId="1" r:id="rId1"/>
    <sheet name="от 12-18" sheetId="2" r:id="rId2"/>
  </sheets>
  <definedNames>
    <definedName name="_xlnm.Print_Area" localSheetId="0">'7-11'!$A$1:$T$260</definedName>
    <definedName name="_xlnm.Print_Area" localSheetId="1">'от 12-18'!$A$1:$T$264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7" i="1" l="1"/>
  <c r="L133" i="1"/>
  <c r="G62" i="1" l="1"/>
  <c r="H45" i="1" l="1"/>
  <c r="G33" i="1"/>
  <c r="G41" i="1"/>
  <c r="N204" i="2" l="1"/>
  <c r="M204" i="2"/>
  <c r="I204" i="2"/>
  <c r="H204" i="2"/>
  <c r="G204" i="2"/>
  <c r="G220" i="2"/>
  <c r="G166" i="2"/>
  <c r="M12" i="2"/>
  <c r="I71" i="2" l="1"/>
  <c r="M112" i="2"/>
  <c r="G61" i="2"/>
  <c r="G38" i="2"/>
  <c r="G39" i="2"/>
  <c r="G40" i="2"/>
  <c r="G41" i="2"/>
  <c r="G42" i="2"/>
  <c r="G43" i="2"/>
  <c r="C21" i="2"/>
  <c r="J245" i="2" l="1"/>
  <c r="K245" i="2"/>
  <c r="L245" i="2"/>
  <c r="M245" i="2"/>
  <c r="N245" i="2"/>
  <c r="O245" i="2"/>
  <c r="P245" i="2"/>
  <c r="Q245" i="2"/>
  <c r="R245" i="2"/>
  <c r="S245" i="2"/>
  <c r="T245" i="2"/>
  <c r="I245" i="2"/>
  <c r="G242" i="2"/>
  <c r="G243" i="2"/>
  <c r="G244" i="2"/>
  <c r="G233" i="2"/>
  <c r="G237" i="2"/>
  <c r="G238" i="2"/>
  <c r="G227" i="2"/>
  <c r="G228" i="2"/>
  <c r="G229" i="2"/>
  <c r="G241" i="2"/>
  <c r="F236" i="2"/>
  <c r="E236" i="2"/>
  <c r="D236" i="2"/>
  <c r="F235" i="2"/>
  <c r="E235" i="2"/>
  <c r="D235" i="2"/>
  <c r="G235" i="2" s="1"/>
  <c r="D234" i="2"/>
  <c r="G234" i="2" s="1"/>
  <c r="G232" i="2"/>
  <c r="F228" i="2"/>
  <c r="G226" i="2"/>
  <c r="R217" i="2"/>
  <c r="G221" i="2"/>
  <c r="G212" i="2"/>
  <c r="G214" i="2"/>
  <c r="G215" i="2"/>
  <c r="G216" i="2"/>
  <c r="G206" i="2"/>
  <c r="G207" i="2"/>
  <c r="G203" i="2"/>
  <c r="G219" i="2"/>
  <c r="F213" i="2"/>
  <c r="G213" i="2" s="1"/>
  <c r="D211" i="2"/>
  <c r="G211" i="2" s="1"/>
  <c r="G210" i="2"/>
  <c r="G205" i="2"/>
  <c r="G236" i="2" l="1"/>
  <c r="S185" i="2"/>
  <c r="S194" i="2"/>
  <c r="R194" i="2"/>
  <c r="G187" i="2"/>
  <c r="G188" i="2"/>
  <c r="G192" i="2"/>
  <c r="G193" i="2"/>
  <c r="G183" i="2"/>
  <c r="G180" i="2"/>
  <c r="G181" i="2"/>
  <c r="G191" i="2" l="1"/>
  <c r="F184" i="2"/>
  <c r="E184" i="2"/>
  <c r="D184" i="2"/>
  <c r="G198" i="2"/>
  <c r="G197" i="2"/>
  <c r="G196" i="2"/>
  <c r="F190" i="2"/>
  <c r="E190" i="2"/>
  <c r="D190" i="2"/>
  <c r="F189" i="2"/>
  <c r="G189" i="2" s="1"/>
  <c r="G182" i="2"/>
  <c r="G173" i="2"/>
  <c r="G175" i="2"/>
  <c r="G167" i="2"/>
  <c r="G169" i="2"/>
  <c r="G170" i="2"/>
  <c r="G158" i="2"/>
  <c r="C177" i="2"/>
  <c r="G161" i="2"/>
  <c r="F160" i="2"/>
  <c r="E160" i="2"/>
  <c r="D160" i="2"/>
  <c r="G159" i="2"/>
  <c r="G174" i="2"/>
  <c r="F168" i="2"/>
  <c r="E168" i="2"/>
  <c r="D168" i="2"/>
  <c r="F165" i="2"/>
  <c r="G165" i="2" s="1"/>
  <c r="M141" i="2"/>
  <c r="N141" i="2"/>
  <c r="O141" i="2"/>
  <c r="P141" i="2"/>
  <c r="Q141" i="2"/>
  <c r="R141" i="2"/>
  <c r="S141" i="2"/>
  <c r="T141" i="2"/>
  <c r="L141" i="2"/>
  <c r="H154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H149" i="2"/>
  <c r="I141" i="2"/>
  <c r="J141" i="2"/>
  <c r="K141" i="2"/>
  <c r="H141" i="2"/>
  <c r="G151" i="2"/>
  <c r="G153" i="2"/>
  <c r="G143" i="2"/>
  <c r="G144" i="2"/>
  <c r="G135" i="2"/>
  <c r="G137" i="2"/>
  <c r="G138" i="2"/>
  <c r="G140" i="2"/>
  <c r="G152" i="2"/>
  <c r="F146" i="2"/>
  <c r="E146" i="2"/>
  <c r="D146" i="2"/>
  <c r="J112" i="2"/>
  <c r="I112" i="2"/>
  <c r="K112" i="2"/>
  <c r="L112" i="2"/>
  <c r="N112" i="2"/>
  <c r="O112" i="2"/>
  <c r="P112" i="2"/>
  <c r="Q112" i="2"/>
  <c r="R112" i="2"/>
  <c r="S112" i="2"/>
  <c r="T112" i="2"/>
  <c r="H112" i="2"/>
  <c r="G115" i="2"/>
  <c r="G107" i="2"/>
  <c r="G108" i="2"/>
  <c r="G109" i="2"/>
  <c r="G99" i="2"/>
  <c r="G102" i="2"/>
  <c r="E117" i="2"/>
  <c r="G116" i="2"/>
  <c r="F114" i="2"/>
  <c r="G114" i="2" s="1"/>
  <c r="G106" i="2"/>
  <c r="E105" i="2"/>
  <c r="D105" i="2"/>
  <c r="F110" i="2"/>
  <c r="E110" i="2"/>
  <c r="D110" i="2"/>
  <c r="F100" i="2"/>
  <c r="G100" i="2" s="1"/>
  <c r="G93" i="2"/>
  <c r="G92" i="2"/>
  <c r="G91" i="2"/>
  <c r="F91" i="2"/>
  <c r="G86" i="2"/>
  <c r="F86" i="2"/>
  <c r="E86" i="2"/>
  <c r="D86" i="2"/>
  <c r="G85" i="2"/>
  <c r="G84" i="2"/>
  <c r="G83" i="2"/>
  <c r="G82" i="2"/>
  <c r="G87" i="2"/>
  <c r="G75" i="2"/>
  <c r="G76" i="2"/>
  <c r="G79" i="2"/>
  <c r="H94" i="2"/>
  <c r="H89" i="2"/>
  <c r="I80" i="2"/>
  <c r="J80" i="2"/>
  <c r="K80" i="2"/>
  <c r="L80" i="2"/>
  <c r="M80" i="2"/>
  <c r="N80" i="2"/>
  <c r="O80" i="2"/>
  <c r="P80" i="2"/>
  <c r="Q80" i="2"/>
  <c r="R80" i="2"/>
  <c r="S80" i="2"/>
  <c r="T80" i="2"/>
  <c r="H80" i="2"/>
  <c r="J71" i="2"/>
  <c r="K71" i="2"/>
  <c r="L71" i="2"/>
  <c r="M71" i="2"/>
  <c r="N71" i="2"/>
  <c r="O71" i="2"/>
  <c r="P71" i="2"/>
  <c r="Q71" i="2"/>
  <c r="R71" i="2"/>
  <c r="S71" i="2"/>
  <c r="T71" i="2"/>
  <c r="H71" i="2"/>
  <c r="G70" i="2"/>
  <c r="G68" i="2"/>
  <c r="E66" i="2"/>
  <c r="D66" i="2"/>
  <c r="G63" i="2"/>
  <c r="G62" i="2"/>
  <c r="G60" i="2"/>
  <c r="G59" i="2"/>
  <c r="F66" i="2"/>
  <c r="C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E56" i="2"/>
  <c r="D56" i="2"/>
  <c r="G56" i="2" s="1"/>
  <c r="G55" i="2"/>
  <c r="G54" i="2"/>
  <c r="G53" i="2"/>
  <c r="C49" i="2"/>
  <c r="G48" i="2"/>
  <c r="G47" i="2"/>
  <c r="G46" i="2"/>
  <c r="G37" i="2"/>
  <c r="G190" i="2" l="1"/>
  <c r="G146" i="2"/>
  <c r="G117" i="2"/>
  <c r="G105" i="2"/>
  <c r="G168" i="2"/>
  <c r="G171" i="2" s="1"/>
  <c r="G110" i="2"/>
  <c r="H155" i="2"/>
  <c r="G160" i="2"/>
  <c r="G176" i="2"/>
  <c r="G194" i="2"/>
  <c r="G184" i="2"/>
  <c r="G185" i="2" s="1"/>
  <c r="H95" i="2"/>
  <c r="G66" i="2"/>
  <c r="G25" i="2" l="1"/>
  <c r="I246" i="1" l="1"/>
  <c r="J246" i="1"/>
  <c r="K246" i="1"/>
  <c r="L246" i="1"/>
  <c r="M246" i="1"/>
  <c r="N246" i="1"/>
  <c r="O246" i="1"/>
  <c r="P246" i="1"/>
  <c r="Q246" i="1"/>
  <c r="R246" i="1"/>
  <c r="S246" i="1"/>
  <c r="T246" i="1"/>
  <c r="H246" i="1"/>
  <c r="G243" i="1"/>
  <c r="G244" i="1"/>
  <c r="G245" i="1"/>
  <c r="G230" i="1"/>
  <c r="D231" i="1"/>
  <c r="G227" i="1"/>
  <c r="F229" i="1" l="1"/>
  <c r="G229" i="1" s="1"/>
  <c r="D246" i="1"/>
  <c r="E246" i="1"/>
  <c r="F246" i="1"/>
  <c r="G242" i="1"/>
  <c r="G246" i="1" s="1"/>
  <c r="G239" i="1"/>
  <c r="G238" i="1"/>
  <c r="G237" i="1"/>
  <c r="F237" i="1"/>
  <c r="E237" i="1"/>
  <c r="D237" i="1"/>
  <c r="G236" i="1"/>
  <c r="G235" i="1"/>
  <c r="E235" i="1"/>
  <c r="D235" i="1"/>
  <c r="G234" i="1"/>
  <c r="E234" i="1"/>
  <c r="G233" i="1"/>
  <c r="G228" i="1"/>
  <c r="G212" i="1"/>
  <c r="G215" i="1"/>
  <c r="G216" i="1"/>
  <c r="G217" i="1"/>
  <c r="D209" i="1"/>
  <c r="E209" i="1"/>
  <c r="R205" i="1"/>
  <c r="M205" i="1"/>
  <c r="J205" i="1"/>
  <c r="G205" i="1"/>
  <c r="G204" i="1"/>
  <c r="G222" i="1"/>
  <c r="G221" i="1"/>
  <c r="G220" i="1"/>
  <c r="F214" i="1"/>
  <c r="G214" i="1" s="1"/>
  <c r="E213" i="1"/>
  <c r="G213" i="1" s="1"/>
  <c r="D213" i="1"/>
  <c r="G211" i="1"/>
  <c r="G208" i="1"/>
  <c r="G207" i="1"/>
  <c r="G206" i="1"/>
  <c r="S186" i="1"/>
  <c r="R186" i="1"/>
  <c r="G198" i="1"/>
  <c r="G199" i="1"/>
  <c r="G197" i="1"/>
  <c r="G189" i="1"/>
  <c r="G190" i="1"/>
  <c r="G191" i="1"/>
  <c r="G192" i="1"/>
  <c r="G193" i="1"/>
  <c r="G194" i="1"/>
  <c r="G188" i="1"/>
  <c r="G183" i="1"/>
  <c r="D186" i="1"/>
  <c r="G184" i="1"/>
  <c r="G185" i="1"/>
  <c r="G182" i="1"/>
  <c r="G181" i="1"/>
  <c r="Q172" i="1"/>
  <c r="G176" i="1"/>
  <c r="G159" i="1"/>
  <c r="G160" i="1"/>
  <c r="G175" i="1"/>
  <c r="G162" i="1"/>
  <c r="F161" i="1"/>
  <c r="E161" i="1"/>
  <c r="D161" i="1"/>
  <c r="D164" i="1" s="1"/>
  <c r="G141" i="1"/>
  <c r="G153" i="1"/>
  <c r="G152" i="1"/>
  <c r="H155" i="1"/>
  <c r="D155" i="1"/>
  <c r="G154" i="1"/>
  <c r="H150" i="1"/>
  <c r="G149" i="1"/>
  <c r="G148" i="1"/>
  <c r="G147" i="1"/>
  <c r="F147" i="1"/>
  <c r="E147" i="1"/>
  <c r="D147" i="1"/>
  <c r="D150" i="1" s="1"/>
  <c r="G146" i="1"/>
  <c r="F146" i="1"/>
  <c r="F150" i="1" s="1"/>
  <c r="G145" i="1"/>
  <c r="E145" i="1"/>
  <c r="E150" i="1" s="1"/>
  <c r="G144" i="1"/>
  <c r="G140" i="1"/>
  <c r="G139" i="1"/>
  <c r="G138" i="1"/>
  <c r="G137" i="1"/>
  <c r="G136" i="1"/>
  <c r="D136" i="1"/>
  <c r="D142" i="1" s="1"/>
  <c r="G117" i="1"/>
  <c r="G115" i="1"/>
  <c r="F115" i="1"/>
  <c r="G108" i="1"/>
  <c r="E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D113" i="1"/>
  <c r="G106" i="1"/>
  <c r="F113" i="1"/>
  <c r="G107" i="1"/>
  <c r="G101" i="1"/>
  <c r="F101" i="1"/>
  <c r="G103" i="1"/>
  <c r="G102" i="1"/>
  <c r="G100" i="1"/>
  <c r="G99" i="1"/>
  <c r="G93" i="1"/>
  <c r="G92" i="1"/>
  <c r="F92" i="1"/>
  <c r="I90" i="1"/>
  <c r="G78" i="1"/>
  <c r="G77" i="1"/>
  <c r="F77" i="1"/>
  <c r="F80" i="1"/>
  <c r="E80" i="1"/>
  <c r="G80" i="1" s="1"/>
  <c r="D80" i="1"/>
  <c r="G79" i="1"/>
  <c r="F79" i="1"/>
  <c r="G76" i="1"/>
  <c r="G81" i="1" s="1"/>
  <c r="F89" i="1"/>
  <c r="E89" i="1"/>
  <c r="D89" i="1"/>
  <c r="F88" i="1"/>
  <c r="E88" i="1"/>
  <c r="D88" i="1"/>
  <c r="G87" i="1"/>
  <c r="F87" i="1"/>
  <c r="E87" i="1"/>
  <c r="D87" i="1"/>
  <c r="G86" i="1"/>
  <c r="G85" i="1"/>
  <c r="G84" i="1"/>
  <c r="G83" i="1"/>
  <c r="G88" i="1" l="1"/>
  <c r="G150" i="1"/>
  <c r="G161" i="1"/>
  <c r="G89" i="1"/>
  <c r="G200" i="1"/>
  <c r="G195" i="1"/>
  <c r="G186" i="1"/>
  <c r="C72" i="1" l="1"/>
  <c r="G69" i="1"/>
  <c r="G63" i="1" l="1"/>
  <c r="G64" i="1"/>
  <c r="G66" i="1"/>
  <c r="F57" i="1"/>
  <c r="E57" i="1"/>
  <c r="D57" i="1"/>
  <c r="G56" i="1"/>
  <c r="G55" i="1"/>
  <c r="G54" i="1"/>
  <c r="G42" i="1"/>
  <c r="G38" i="1"/>
  <c r="G26" i="1"/>
  <c r="G19" i="1"/>
  <c r="G57" i="1" l="1"/>
  <c r="H12" i="1"/>
  <c r="G7" i="1"/>
  <c r="D12" i="1"/>
  <c r="G7" i="2" l="1"/>
  <c r="C12" i="2"/>
  <c r="C240" i="1"/>
  <c r="C247" i="1" s="1"/>
  <c r="G35" i="1"/>
  <c r="G111" i="1"/>
  <c r="G163" i="1"/>
  <c r="G43" i="1"/>
  <c r="G44" i="1"/>
  <c r="K255" i="2"/>
  <c r="L239" i="2" l="1"/>
  <c r="Q239" i="2"/>
  <c r="R239" i="2"/>
  <c r="S239" i="2"/>
  <c r="T239" i="2"/>
  <c r="L230" i="2"/>
  <c r="Q230" i="2"/>
  <c r="R230" i="2"/>
  <c r="S230" i="2"/>
  <c r="T230" i="2"/>
  <c r="L217" i="2"/>
  <c r="L222" i="2"/>
  <c r="M222" i="2"/>
  <c r="N222" i="2"/>
  <c r="O222" i="2"/>
  <c r="P222" i="2"/>
  <c r="Q222" i="2"/>
  <c r="R222" i="2"/>
  <c r="S222" i="2"/>
  <c r="T222" i="2"/>
  <c r="Q217" i="2"/>
  <c r="S217" i="2"/>
  <c r="T217" i="2"/>
  <c r="Q208" i="2"/>
  <c r="R208" i="2"/>
  <c r="S208" i="2"/>
  <c r="T208" i="2"/>
  <c r="L208" i="2"/>
  <c r="L199" i="2"/>
  <c r="M199" i="2"/>
  <c r="N199" i="2"/>
  <c r="O199" i="2"/>
  <c r="P199" i="2"/>
  <c r="Q199" i="2"/>
  <c r="R199" i="2"/>
  <c r="S199" i="2"/>
  <c r="S200" i="2" s="1"/>
  <c r="T199" i="2"/>
  <c r="L194" i="2"/>
  <c r="M194" i="2"/>
  <c r="N194" i="2"/>
  <c r="O194" i="2"/>
  <c r="P194" i="2"/>
  <c r="Q194" i="2"/>
  <c r="T194" i="2"/>
  <c r="L185" i="2"/>
  <c r="M185" i="2"/>
  <c r="N185" i="2"/>
  <c r="O185" i="2"/>
  <c r="P185" i="2"/>
  <c r="Q185" i="2"/>
  <c r="R185" i="2"/>
  <c r="T185" i="2"/>
  <c r="L176" i="2"/>
  <c r="M176" i="2"/>
  <c r="N176" i="2"/>
  <c r="O176" i="2"/>
  <c r="P176" i="2"/>
  <c r="Q176" i="2"/>
  <c r="R176" i="2"/>
  <c r="S176" i="2"/>
  <c r="T176" i="2"/>
  <c r="L171" i="2"/>
  <c r="M171" i="2"/>
  <c r="N171" i="2"/>
  <c r="O171" i="2"/>
  <c r="P171" i="2"/>
  <c r="Q171" i="2"/>
  <c r="R171" i="2"/>
  <c r="S171" i="2"/>
  <c r="T171" i="2"/>
  <c r="T163" i="2"/>
  <c r="Q163" i="2"/>
  <c r="R163" i="2"/>
  <c r="S163" i="2"/>
  <c r="L163" i="2"/>
  <c r="Q154" i="2"/>
  <c r="R154" i="2"/>
  <c r="S154" i="2"/>
  <c r="T154" i="2"/>
  <c r="L154" i="2"/>
  <c r="G17" i="2"/>
  <c r="P200" i="2" l="1"/>
  <c r="L200" i="2"/>
  <c r="N200" i="2"/>
  <c r="O200" i="2"/>
  <c r="M200" i="2"/>
  <c r="T223" i="2"/>
  <c r="L223" i="2"/>
  <c r="L246" i="2"/>
  <c r="S223" i="2"/>
  <c r="Q223" i="2"/>
  <c r="S246" i="2"/>
  <c r="Q246" i="2"/>
  <c r="R223" i="2"/>
  <c r="T246" i="2"/>
  <c r="R246" i="2"/>
  <c r="S177" i="2"/>
  <c r="Q177" i="2"/>
  <c r="T177" i="2"/>
  <c r="R177" i="2"/>
  <c r="L177" i="2"/>
  <c r="R200" i="2"/>
  <c r="T200" i="2"/>
  <c r="Q200" i="2"/>
  <c r="L155" i="2"/>
  <c r="S155" i="2"/>
  <c r="Q155" i="2"/>
  <c r="T155" i="2"/>
  <c r="R155" i="2"/>
  <c r="Q94" i="2"/>
  <c r="R94" i="2"/>
  <c r="S94" i="2"/>
  <c r="T94" i="2"/>
  <c r="Q103" i="2"/>
  <c r="R103" i="2"/>
  <c r="S103" i="2"/>
  <c r="T103" i="2"/>
  <c r="Q117" i="2"/>
  <c r="R117" i="2"/>
  <c r="S117" i="2"/>
  <c r="T117" i="2"/>
  <c r="L117" i="2"/>
  <c r="L103" i="2"/>
  <c r="L94" i="2"/>
  <c r="L89" i="2"/>
  <c r="M89" i="2"/>
  <c r="N89" i="2"/>
  <c r="O89" i="2"/>
  <c r="P89" i="2"/>
  <c r="Q89" i="2"/>
  <c r="R89" i="2"/>
  <c r="S89" i="2"/>
  <c r="T89" i="2"/>
  <c r="Q49" i="2"/>
  <c r="R49" i="2"/>
  <c r="S49" i="2"/>
  <c r="T49" i="2"/>
  <c r="Q26" i="2"/>
  <c r="R26" i="2"/>
  <c r="S26" i="2"/>
  <c r="T26" i="2"/>
  <c r="L26" i="2"/>
  <c r="L57" i="2"/>
  <c r="M57" i="2"/>
  <c r="N57" i="2"/>
  <c r="O57" i="2"/>
  <c r="P57" i="2"/>
  <c r="Q57" i="2"/>
  <c r="R57" i="2"/>
  <c r="S57" i="2"/>
  <c r="T57" i="2"/>
  <c r="L44" i="2"/>
  <c r="M44" i="2"/>
  <c r="N44" i="2"/>
  <c r="O44" i="2"/>
  <c r="P44" i="2"/>
  <c r="Q44" i="2"/>
  <c r="R44" i="2"/>
  <c r="S44" i="2"/>
  <c r="T44" i="2"/>
  <c r="L35" i="2"/>
  <c r="Q35" i="2"/>
  <c r="R35" i="2"/>
  <c r="S35" i="2"/>
  <c r="T35" i="2"/>
  <c r="Q21" i="2"/>
  <c r="R21" i="2"/>
  <c r="S21" i="2"/>
  <c r="T21" i="2"/>
  <c r="L21" i="2"/>
  <c r="L12" i="2"/>
  <c r="Q12" i="2"/>
  <c r="R12" i="2"/>
  <c r="S12" i="2"/>
  <c r="T12" i="2"/>
  <c r="G94" i="1"/>
  <c r="R218" i="1"/>
  <c r="L218" i="1"/>
  <c r="M104" i="1"/>
  <c r="R172" i="1"/>
  <c r="T118" i="2" l="1"/>
  <c r="Q125" i="2"/>
  <c r="Q130" i="2" s="1"/>
  <c r="Q118" i="2"/>
  <c r="T123" i="2"/>
  <c r="T128" i="2" s="1"/>
  <c r="Q251" i="2"/>
  <c r="Q256" i="2" s="1"/>
  <c r="R118" i="2"/>
  <c r="S118" i="2"/>
  <c r="S250" i="2"/>
  <c r="S255" i="2" s="1"/>
  <c r="R123" i="2"/>
  <c r="R128" i="2" s="1"/>
  <c r="S125" i="2"/>
  <c r="S130" i="2" s="1"/>
  <c r="Q250" i="2"/>
  <c r="Q255" i="2" s="1"/>
  <c r="S251" i="2"/>
  <c r="S256" i="2" s="1"/>
  <c r="T124" i="2"/>
  <c r="T129" i="2" s="1"/>
  <c r="R124" i="2"/>
  <c r="R129" i="2" s="1"/>
  <c r="T95" i="2"/>
  <c r="R95" i="2"/>
  <c r="T250" i="2"/>
  <c r="T255" i="2" s="1"/>
  <c r="R250" i="2"/>
  <c r="R255" i="2" s="1"/>
  <c r="T251" i="2"/>
  <c r="T256" i="2" s="1"/>
  <c r="R251" i="2"/>
  <c r="R256" i="2" s="1"/>
  <c r="S123" i="2"/>
  <c r="S128" i="2" s="1"/>
  <c r="Q123" i="2"/>
  <c r="S124" i="2"/>
  <c r="S129" i="2" s="1"/>
  <c r="Q124" i="2"/>
  <c r="Q129" i="2" s="1"/>
  <c r="T125" i="2"/>
  <c r="T130" i="2" s="1"/>
  <c r="R125" i="2"/>
  <c r="R130" i="2" s="1"/>
  <c r="L118" i="2"/>
  <c r="P72" i="2"/>
  <c r="N72" i="2"/>
  <c r="L95" i="2"/>
  <c r="Q95" i="2"/>
  <c r="S95" i="2"/>
  <c r="T72" i="2"/>
  <c r="R72" i="2"/>
  <c r="L72" i="2"/>
  <c r="S27" i="2"/>
  <c r="R27" i="2"/>
  <c r="Q27" i="2"/>
  <c r="T27" i="2"/>
  <c r="T252" i="2" s="1"/>
  <c r="L27" i="2"/>
  <c r="L253" i="2" s="1"/>
  <c r="S50" i="2"/>
  <c r="Q50" i="2"/>
  <c r="T50" i="2"/>
  <c r="R50" i="2"/>
  <c r="L50" i="2"/>
  <c r="S72" i="2"/>
  <c r="Q72" i="2"/>
  <c r="O72" i="2"/>
  <c r="M72" i="2"/>
  <c r="O95" i="1"/>
  <c r="I150" i="1"/>
  <c r="L150" i="1"/>
  <c r="J150" i="1"/>
  <c r="S150" i="1"/>
  <c r="P150" i="1"/>
  <c r="O150" i="1"/>
  <c r="N150" i="1"/>
  <c r="M150" i="1"/>
  <c r="M172" i="1"/>
  <c r="K150" i="1"/>
  <c r="F166" i="1"/>
  <c r="G168" i="1"/>
  <c r="R150" i="1"/>
  <c r="T150" i="1"/>
  <c r="L155" i="1"/>
  <c r="Q155" i="1"/>
  <c r="R155" i="1"/>
  <c r="S155" i="1"/>
  <c r="T155" i="1"/>
  <c r="Q150" i="1"/>
  <c r="S252" i="2" l="1"/>
  <c r="S257" i="2" s="1"/>
  <c r="S253" i="2"/>
  <c r="S259" i="2" s="1"/>
  <c r="R252" i="2"/>
  <c r="R257" i="2" s="1"/>
  <c r="R253" i="2"/>
  <c r="R259" i="2" s="1"/>
  <c r="Q252" i="2"/>
  <c r="Q257" i="2" s="1"/>
  <c r="Q253" i="2"/>
  <c r="Q259" i="2" s="1"/>
  <c r="T126" i="2"/>
  <c r="S126" i="2"/>
  <c r="Q126" i="2"/>
  <c r="Q128" i="2"/>
  <c r="T253" i="2"/>
  <c r="T259" i="2" s="1"/>
  <c r="R126" i="2"/>
  <c r="G166" i="1"/>
  <c r="I95" i="1"/>
  <c r="J95" i="1"/>
  <c r="K95" i="1"/>
  <c r="L95" i="1"/>
  <c r="M95" i="1"/>
  <c r="N95" i="1"/>
  <c r="P95" i="1"/>
  <c r="Q95" i="1"/>
  <c r="R95" i="1"/>
  <c r="S95" i="1"/>
  <c r="T95" i="1"/>
  <c r="H95" i="1"/>
  <c r="O58" i="1"/>
  <c r="Q200" i="1"/>
  <c r="R200" i="1"/>
  <c r="S200" i="1"/>
  <c r="T200" i="1"/>
  <c r="L200" i="1"/>
  <c r="Q142" i="1"/>
  <c r="R142" i="1"/>
  <c r="S142" i="1"/>
  <c r="T142" i="1"/>
  <c r="L142" i="1"/>
  <c r="Q118" i="1"/>
  <c r="R118" i="1"/>
  <c r="R119" i="1" s="1"/>
  <c r="S118" i="1"/>
  <c r="T118" i="1"/>
  <c r="L118" i="1"/>
  <c r="Q104" i="1"/>
  <c r="R104" i="1"/>
  <c r="S104" i="1"/>
  <c r="T104" i="1"/>
  <c r="L104" i="1"/>
  <c r="Q90" i="1"/>
  <c r="R90" i="1"/>
  <c r="S90" i="1"/>
  <c r="T90" i="1"/>
  <c r="L90" i="1"/>
  <c r="L81" i="1"/>
  <c r="L72" i="1"/>
  <c r="Q67" i="1"/>
  <c r="R67" i="1"/>
  <c r="S67" i="1"/>
  <c r="T67" i="1"/>
  <c r="Q164" i="1"/>
  <c r="R164" i="1"/>
  <c r="S164" i="1"/>
  <c r="T164" i="1"/>
  <c r="L164" i="1"/>
  <c r="S172" i="1"/>
  <c r="T172" i="1"/>
  <c r="L172" i="1"/>
  <c r="Q177" i="1"/>
  <c r="Q178" i="1" s="1"/>
  <c r="R177" i="1"/>
  <c r="S177" i="1"/>
  <c r="T177" i="1"/>
  <c r="L177" i="1"/>
  <c r="Q186" i="1"/>
  <c r="T186" i="1"/>
  <c r="L186" i="1"/>
  <c r="Q195" i="1"/>
  <c r="R195" i="1"/>
  <c r="S195" i="1"/>
  <c r="T195" i="1"/>
  <c r="L195" i="1"/>
  <c r="Q209" i="1"/>
  <c r="R209" i="1"/>
  <c r="S209" i="1"/>
  <c r="T209" i="1"/>
  <c r="L209" i="1"/>
  <c r="Q218" i="1"/>
  <c r="S218" i="1"/>
  <c r="T218" i="1"/>
  <c r="Q223" i="1"/>
  <c r="R223" i="1"/>
  <c r="S223" i="1"/>
  <c r="T223" i="1"/>
  <c r="L223" i="1"/>
  <c r="Q231" i="1"/>
  <c r="R231" i="1"/>
  <c r="S231" i="1"/>
  <c r="T231" i="1"/>
  <c r="L231" i="1"/>
  <c r="S240" i="1"/>
  <c r="T240" i="1"/>
  <c r="R240" i="1"/>
  <c r="Q240" i="1"/>
  <c r="L240" i="1"/>
  <c r="S119" i="1" l="1"/>
  <c r="R247" i="1"/>
  <c r="Q119" i="1"/>
  <c r="S247" i="1"/>
  <c r="T132" i="2"/>
  <c r="T247" i="1"/>
  <c r="Q247" i="1"/>
  <c r="L247" i="1"/>
  <c r="L119" i="1"/>
  <c r="T119" i="1"/>
  <c r="R132" i="2"/>
  <c r="S132" i="2"/>
  <c r="Q132" i="2"/>
  <c r="T224" i="1"/>
  <c r="S224" i="1"/>
  <c r="Q201" i="1"/>
  <c r="L201" i="1"/>
  <c r="L178" i="1"/>
  <c r="T201" i="1"/>
  <c r="Q224" i="1"/>
  <c r="T178" i="1"/>
  <c r="S156" i="1"/>
  <c r="R156" i="1"/>
  <c r="L156" i="1"/>
  <c r="S178" i="1"/>
  <c r="L96" i="1"/>
  <c r="T156" i="1"/>
  <c r="Q156" i="1"/>
  <c r="R201" i="1"/>
  <c r="R224" i="1"/>
  <c r="S201" i="1"/>
  <c r="R178" i="1"/>
  <c r="L224" i="1"/>
  <c r="L67" i="1"/>
  <c r="L58" i="1"/>
  <c r="L73" i="1" l="1"/>
  <c r="L50" i="1"/>
  <c r="L45" i="1"/>
  <c r="L36" i="1"/>
  <c r="R32" i="1"/>
  <c r="G34" i="1"/>
  <c r="S36" i="1"/>
  <c r="Q36" i="1"/>
  <c r="Q81" i="1"/>
  <c r="Q96" i="1" s="1"/>
  <c r="R81" i="1"/>
  <c r="R96" i="1" s="1"/>
  <c r="S81" i="1"/>
  <c r="S96" i="1" s="1"/>
  <c r="T81" i="1"/>
  <c r="T96" i="1" s="1"/>
  <c r="Q72" i="1"/>
  <c r="R72" i="1"/>
  <c r="S72" i="1"/>
  <c r="T72" i="1"/>
  <c r="Q58" i="1"/>
  <c r="R58" i="1"/>
  <c r="S58" i="1"/>
  <c r="T58" i="1"/>
  <c r="Q50" i="1"/>
  <c r="R50" i="1"/>
  <c r="S50" i="1"/>
  <c r="T50" i="1"/>
  <c r="Q45" i="1"/>
  <c r="R45" i="1"/>
  <c r="S45" i="1"/>
  <c r="T45" i="1"/>
  <c r="T36" i="1"/>
  <c r="R27" i="1"/>
  <c r="Q22" i="1"/>
  <c r="T27" i="1"/>
  <c r="T22" i="1"/>
  <c r="Q27" i="1"/>
  <c r="S27" i="1"/>
  <c r="L27" i="1"/>
  <c r="R22" i="1"/>
  <c r="S22" i="1"/>
  <c r="L22" i="1"/>
  <c r="Q12" i="1"/>
  <c r="T12" i="1"/>
  <c r="S12" i="1"/>
  <c r="R12" i="1"/>
  <c r="L12" i="1"/>
  <c r="S73" i="1" l="1"/>
  <c r="Q73" i="1"/>
  <c r="L51" i="1"/>
  <c r="R73" i="1"/>
  <c r="T73" i="1"/>
  <c r="Q51" i="1"/>
  <c r="T51" i="1"/>
  <c r="S51" i="1"/>
  <c r="R36" i="1"/>
  <c r="R51" i="1" s="1"/>
  <c r="L28" i="1"/>
  <c r="R28" i="1"/>
  <c r="S28" i="1"/>
  <c r="T28" i="1"/>
  <c r="Q28" i="1"/>
  <c r="L123" i="2"/>
  <c r="L128" i="2" s="1"/>
  <c r="L252" i="2"/>
  <c r="L257" i="2" s="1"/>
  <c r="L259" i="2"/>
  <c r="L251" i="2"/>
  <c r="L256" i="2" s="1"/>
  <c r="L250" i="2"/>
  <c r="L255" i="2" s="1"/>
  <c r="L125" i="2"/>
  <c r="L124" i="2"/>
  <c r="L129" i="2" s="1"/>
  <c r="Q253" i="1"/>
  <c r="Q258" i="1" s="1"/>
  <c r="R253" i="1"/>
  <c r="S253" i="1"/>
  <c r="T253" i="1"/>
  <c r="Q252" i="1"/>
  <c r="Q257" i="1" s="1"/>
  <c r="R252" i="1"/>
  <c r="R257" i="1" s="1"/>
  <c r="S252" i="1"/>
  <c r="S257" i="1" s="1"/>
  <c r="T252" i="1"/>
  <c r="T257" i="1" s="1"/>
  <c r="Q251" i="1"/>
  <c r="Q256" i="1" s="1"/>
  <c r="S251" i="1"/>
  <c r="S256" i="1" s="1"/>
  <c r="T251" i="1"/>
  <c r="T256" i="1" s="1"/>
  <c r="Q126" i="1"/>
  <c r="Q131" i="1" s="1"/>
  <c r="R126" i="1"/>
  <c r="S126" i="1"/>
  <c r="S131" i="1" s="1"/>
  <c r="T126" i="1"/>
  <c r="T131" i="1" s="1"/>
  <c r="Q125" i="1"/>
  <c r="Q130" i="1" s="1"/>
  <c r="R125" i="1"/>
  <c r="S125" i="1"/>
  <c r="S130" i="1" s="1"/>
  <c r="T125" i="1"/>
  <c r="T130" i="1" s="1"/>
  <c r="Q124" i="1"/>
  <c r="Q129" i="1" s="1"/>
  <c r="S124" i="1"/>
  <c r="S129" i="1" s="1"/>
  <c r="T124" i="1"/>
  <c r="T129" i="1" s="1"/>
  <c r="L254" i="1" l="1"/>
  <c r="L260" i="1" s="1"/>
  <c r="R254" i="1"/>
  <c r="R260" i="1" s="1"/>
  <c r="S254" i="1"/>
  <c r="S260" i="1" s="1"/>
  <c r="T254" i="1"/>
  <c r="T260" i="1" s="1"/>
  <c r="Q127" i="1"/>
  <c r="Q133" i="1" s="1"/>
  <c r="Q254" i="1"/>
  <c r="Q260" i="1" s="1"/>
  <c r="R127" i="1"/>
  <c r="R133" i="1" s="1"/>
  <c r="T127" i="1"/>
  <c r="T133" i="1" s="1"/>
  <c r="S127" i="1"/>
  <c r="S133" i="1" s="1"/>
  <c r="L130" i="2"/>
  <c r="R251" i="1"/>
  <c r="R256" i="1" s="1"/>
  <c r="R124" i="1"/>
  <c r="R129" i="1" s="1"/>
  <c r="L126" i="2"/>
  <c r="T258" i="1"/>
  <c r="S258" i="1"/>
  <c r="R258" i="1"/>
  <c r="L258" i="1"/>
  <c r="L257" i="1"/>
  <c r="L256" i="1"/>
  <c r="R131" i="1"/>
  <c r="R130" i="1"/>
  <c r="L131" i="1"/>
  <c r="L130" i="1"/>
  <c r="L129" i="1"/>
  <c r="L132" i="2" l="1"/>
  <c r="N131" i="1"/>
  <c r="J131" i="1"/>
  <c r="I131" i="1"/>
  <c r="H131" i="1"/>
  <c r="N130" i="1"/>
  <c r="J130" i="1"/>
  <c r="I130" i="1"/>
  <c r="H130" i="1"/>
  <c r="N129" i="1"/>
  <c r="J129" i="1"/>
  <c r="I129" i="1"/>
  <c r="H129" i="1"/>
  <c r="G109" i="1" l="1"/>
  <c r="C104" i="1"/>
  <c r="G71" i="1"/>
  <c r="G61" i="1"/>
  <c r="G47" i="1"/>
  <c r="M32" i="1"/>
  <c r="J32" i="1"/>
  <c r="I32" i="1"/>
  <c r="E32" i="1"/>
  <c r="D32" i="1"/>
  <c r="G25" i="1"/>
  <c r="P18" i="1"/>
  <c r="O18" i="1"/>
  <c r="N18" i="1"/>
  <c r="H18" i="1"/>
  <c r="F18" i="1"/>
  <c r="E18" i="1"/>
  <c r="D18" i="1"/>
  <c r="G17" i="1"/>
  <c r="G32" i="1" l="1"/>
  <c r="G18" i="1"/>
  <c r="I222" i="2"/>
  <c r="J222" i="2"/>
  <c r="K222" i="2"/>
  <c r="H222" i="2"/>
  <c r="E222" i="2"/>
  <c r="F222" i="2"/>
  <c r="D222" i="2"/>
  <c r="H230" i="2"/>
  <c r="I230" i="2"/>
  <c r="J230" i="2"/>
  <c r="K230" i="2"/>
  <c r="M230" i="2"/>
  <c r="N230" i="2"/>
  <c r="O230" i="2"/>
  <c r="P230" i="2"/>
  <c r="C222" i="2"/>
  <c r="I94" i="2"/>
  <c r="J94" i="2"/>
  <c r="K94" i="2"/>
  <c r="M94" i="2"/>
  <c r="N94" i="2"/>
  <c r="O94" i="2"/>
  <c r="P94" i="2"/>
  <c r="C103" i="2"/>
  <c r="E71" i="2" l="1"/>
  <c r="D71" i="2"/>
  <c r="D117" i="2" l="1"/>
  <c r="F117" i="2"/>
  <c r="H117" i="2"/>
  <c r="I117" i="2"/>
  <c r="J117" i="2"/>
  <c r="K117" i="2"/>
  <c r="M117" i="2"/>
  <c r="N117" i="2"/>
  <c r="O117" i="2"/>
  <c r="P117" i="2"/>
  <c r="E32" i="2"/>
  <c r="D32" i="2"/>
  <c r="C141" i="2"/>
  <c r="D176" i="2"/>
  <c r="E176" i="2"/>
  <c r="F176" i="2"/>
  <c r="H176" i="2"/>
  <c r="I176" i="2"/>
  <c r="J176" i="2"/>
  <c r="K176" i="2"/>
  <c r="F94" i="2"/>
  <c r="E94" i="2"/>
  <c r="D94" i="2"/>
  <c r="P21" i="2"/>
  <c r="O21" i="2"/>
  <c r="N21" i="2"/>
  <c r="M21" i="2"/>
  <c r="M124" i="2" s="1"/>
  <c r="F98" i="2"/>
  <c r="D98" i="2"/>
  <c r="P35" i="2"/>
  <c r="O35" i="2"/>
  <c r="N31" i="2"/>
  <c r="N35" i="2" s="1"/>
  <c r="M31" i="2"/>
  <c r="M35" i="2" s="1"/>
  <c r="I31" i="2"/>
  <c r="H31" i="2"/>
  <c r="F71" i="2"/>
  <c r="C250" i="2" l="1"/>
  <c r="C255" i="2" s="1"/>
  <c r="C123" i="2"/>
  <c r="C128" i="2" s="1"/>
  <c r="G32" i="2"/>
  <c r="G31" i="2"/>
  <c r="C125" i="2" l="1"/>
  <c r="C130" i="2" s="1"/>
  <c r="J186" i="1" l="1"/>
  <c r="K81" i="1"/>
  <c r="P81" i="1"/>
  <c r="O81" i="1"/>
  <c r="N81" i="1"/>
  <c r="M81" i="1"/>
  <c r="J81" i="1"/>
  <c r="I81" i="1"/>
  <c r="H81" i="1"/>
  <c r="I67" i="1" l="1"/>
  <c r="J67" i="1"/>
  <c r="K67" i="1"/>
  <c r="M67" i="1"/>
  <c r="N67" i="1"/>
  <c r="O67" i="1"/>
  <c r="P67" i="1"/>
  <c r="H67" i="1"/>
  <c r="G145" i="2" l="1"/>
  <c r="G11" i="2" l="1"/>
  <c r="G49" i="1"/>
  <c r="G11" i="1"/>
  <c r="G8" i="2"/>
  <c r="G8" i="1"/>
  <c r="F118" i="1"/>
  <c r="G48" i="1"/>
  <c r="D118" i="1"/>
  <c r="E118" i="1"/>
  <c r="H118" i="1"/>
  <c r="I118" i="1"/>
  <c r="J118" i="1"/>
  <c r="K118" i="1"/>
  <c r="M118" i="1"/>
  <c r="M119" i="1" s="1"/>
  <c r="N118" i="1"/>
  <c r="O118" i="1"/>
  <c r="P118" i="1"/>
  <c r="E50" i="1"/>
  <c r="F50" i="1"/>
  <c r="H50" i="1"/>
  <c r="I50" i="1"/>
  <c r="J50" i="1"/>
  <c r="K50" i="1"/>
  <c r="M50" i="1"/>
  <c r="N50" i="1"/>
  <c r="O50" i="1"/>
  <c r="P50" i="1"/>
  <c r="D50" i="1"/>
  <c r="F26" i="2"/>
  <c r="D26" i="2"/>
  <c r="F147" i="2"/>
  <c r="E147" i="2"/>
  <c r="D147" i="2"/>
  <c r="F19" i="2"/>
  <c r="E19" i="2"/>
  <c r="D19" i="2"/>
  <c r="F230" i="2"/>
  <c r="E230" i="2"/>
  <c r="D230" i="2"/>
  <c r="F185" i="2"/>
  <c r="E185" i="2"/>
  <c r="D185" i="2"/>
  <c r="F162" i="2"/>
  <c r="F163" i="2" s="1"/>
  <c r="E162" i="2"/>
  <c r="D162" i="2"/>
  <c r="D163" i="2" s="1"/>
  <c r="F139" i="2"/>
  <c r="F141" i="2" s="1"/>
  <c r="E139" i="2"/>
  <c r="D139" i="2"/>
  <c r="D141" i="2" s="1"/>
  <c r="F101" i="2"/>
  <c r="F103" i="2" s="1"/>
  <c r="E101" i="2"/>
  <c r="D101" i="2"/>
  <c r="D103" i="2" s="1"/>
  <c r="F78" i="2"/>
  <c r="F80" i="2" s="1"/>
  <c r="E78" i="2"/>
  <c r="D78" i="2"/>
  <c r="D80" i="2" s="1"/>
  <c r="F57" i="2"/>
  <c r="E57" i="2"/>
  <c r="D57" i="2"/>
  <c r="F148" i="2"/>
  <c r="E148" i="2"/>
  <c r="D148" i="2"/>
  <c r="G148" i="2" s="1"/>
  <c r="F111" i="2"/>
  <c r="E111" i="2"/>
  <c r="E112" i="2" s="1"/>
  <c r="D111" i="2"/>
  <c r="D112" i="2" s="1"/>
  <c r="F88" i="2"/>
  <c r="E88" i="2"/>
  <c r="D88" i="2"/>
  <c r="F20" i="2"/>
  <c r="E20" i="2"/>
  <c r="D20" i="2"/>
  <c r="F10" i="2"/>
  <c r="F12" i="2" s="1"/>
  <c r="E10" i="2"/>
  <c r="E12" i="2" s="1"/>
  <c r="D10" i="2"/>
  <c r="D12" i="2" s="1"/>
  <c r="H245" i="2"/>
  <c r="F245" i="2"/>
  <c r="E245" i="2"/>
  <c r="D245" i="2"/>
  <c r="P239" i="2"/>
  <c r="O239" i="2"/>
  <c r="N239" i="2"/>
  <c r="M239" i="2"/>
  <c r="K239" i="2"/>
  <c r="J239" i="2"/>
  <c r="I239" i="2"/>
  <c r="H239" i="2"/>
  <c r="G230" i="2"/>
  <c r="G222" i="2"/>
  <c r="P217" i="2"/>
  <c r="O217" i="2"/>
  <c r="N217" i="2"/>
  <c r="M217" i="2"/>
  <c r="K217" i="2"/>
  <c r="J217" i="2"/>
  <c r="I217" i="2"/>
  <c r="H217" i="2"/>
  <c r="P208" i="2"/>
  <c r="O208" i="2"/>
  <c r="N208" i="2"/>
  <c r="M208" i="2"/>
  <c r="K208" i="2"/>
  <c r="J208" i="2"/>
  <c r="I208" i="2"/>
  <c r="H208" i="2"/>
  <c r="F208" i="2"/>
  <c r="E208" i="2"/>
  <c r="K199" i="2"/>
  <c r="J199" i="2"/>
  <c r="I199" i="2"/>
  <c r="H199" i="2"/>
  <c r="F199" i="2"/>
  <c r="E199" i="2"/>
  <c r="D199" i="2"/>
  <c r="K194" i="2"/>
  <c r="J194" i="2"/>
  <c r="I194" i="2"/>
  <c r="H194" i="2"/>
  <c r="K185" i="2"/>
  <c r="J185" i="2"/>
  <c r="I185" i="2"/>
  <c r="H185" i="2"/>
  <c r="K171" i="2"/>
  <c r="J171" i="2"/>
  <c r="I171" i="2"/>
  <c r="H171" i="2"/>
  <c r="P163" i="2"/>
  <c r="P177" i="2" s="1"/>
  <c r="O163" i="2"/>
  <c r="O177" i="2" s="1"/>
  <c r="N163" i="2"/>
  <c r="N177" i="2" s="1"/>
  <c r="M163" i="2"/>
  <c r="M177" i="2" s="1"/>
  <c r="K163" i="2"/>
  <c r="J163" i="2"/>
  <c r="I163" i="2"/>
  <c r="H163" i="2"/>
  <c r="P154" i="2"/>
  <c r="O154" i="2"/>
  <c r="N154" i="2"/>
  <c r="M154" i="2"/>
  <c r="K154" i="2"/>
  <c r="J154" i="2"/>
  <c r="I154" i="2"/>
  <c r="F154" i="2"/>
  <c r="E154" i="2"/>
  <c r="D154" i="2"/>
  <c r="G136" i="2"/>
  <c r="P103" i="2"/>
  <c r="O103" i="2"/>
  <c r="N103" i="2"/>
  <c r="M103" i="2"/>
  <c r="M123" i="2" s="1"/>
  <c r="K103" i="2"/>
  <c r="J103" i="2"/>
  <c r="I103" i="2"/>
  <c r="H103" i="2"/>
  <c r="G98" i="2"/>
  <c r="G94" i="2"/>
  <c r="K89" i="2"/>
  <c r="J89" i="2"/>
  <c r="I89" i="2"/>
  <c r="P95" i="2"/>
  <c r="O95" i="2"/>
  <c r="N95" i="2"/>
  <c r="M95" i="2"/>
  <c r="G77" i="2"/>
  <c r="K57" i="2"/>
  <c r="J57" i="2"/>
  <c r="I57" i="2"/>
  <c r="I72" i="2" s="1"/>
  <c r="H57" i="2"/>
  <c r="P49" i="2"/>
  <c r="P50" i="2" s="1"/>
  <c r="O49" i="2"/>
  <c r="O50" i="2" s="1"/>
  <c r="N49" i="2"/>
  <c r="N50" i="2" s="1"/>
  <c r="M49" i="2"/>
  <c r="M50" i="2" s="1"/>
  <c r="K49" i="2"/>
  <c r="J49" i="2"/>
  <c r="I49" i="2"/>
  <c r="H49" i="2"/>
  <c r="F49" i="2"/>
  <c r="E49" i="2"/>
  <c r="D49" i="2"/>
  <c r="K44" i="2"/>
  <c r="J44" i="2"/>
  <c r="I44" i="2"/>
  <c r="H44" i="2"/>
  <c r="K35" i="2"/>
  <c r="J35" i="2"/>
  <c r="I35" i="2"/>
  <c r="H35" i="2"/>
  <c r="F34" i="2"/>
  <c r="F35" i="2" s="1"/>
  <c r="E34" i="2"/>
  <c r="D34" i="2"/>
  <c r="D35" i="2" s="1"/>
  <c r="G33" i="2"/>
  <c r="G30" i="2"/>
  <c r="P26" i="2"/>
  <c r="O26" i="2"/>
  <c r="N26" i="2"/>
  <c r="M26" i="2"/>
  <c r="M125" i="2" s="1"/>
  <c r="K26" i="2"/>
  <c r="J26" i="2"/>
  <c r="I26" i="2"/>
  <c r="H26" i="2"/>
  <c r="G23" i="2"/>
  <c r="K21" i="2"/>
  <c r="J21" i="2"/>
  <c r="I21" i="2"/>
  <c r="H21" i="2"/>
  <c r="G18" i="2"/>
  <c r="G16" i="2"/>
  <c r="G15" i="2"/>
  <c r="G14" i="2"/>
  <c r="P12" i="2"/>
  <c r="O12" i="2"/>
  <c r="N12" i="2"/>
  <c r="K12" i="2"/>
  <c r="J12" i="2"/>
  <c r="I12" i="2"/>
  <c r="H12" i="2"/>
  <c r="G9" i="2"/>
  <c r="E164" i="1"/>
  <c r="F164" i="1"/>
  <c r="H164" i="1"/>
  <c r="I164" i="1"/>
  <c r="J164" i="1"/>
  <c r="K164" i="1"/>
  <c r="M164" i="1"/>
  <c r="N164" i="1"/>
  <c r="O164" i="1"/>
  <c r="P164" i="1"/>
  <c r="M126" i="2" l="1"/>
  <c r="G88" i="2"/>
  <c r="G101" i="2"/>
  <c r="G103" i="2" s="1"/>
  <c r="G147" i="2"/>
  <c r="G149" i="2" s="1"/>
  <c r="E80" i="2"/>
  <c r="G78" i="2"/>
  <c r="G80" i="2" s="1"/>
  <c r="E163" i="2"/>
  <c r="G162" i="2"/>
  <c r="G163" i="2" s="1"/>
  <c r="G177" i="2" s="1"/>
  <c r="F112" i="2"/>
  <c r="F118" i="2" s="1"/>
  <c r="G111" i="2"/>
  <c r="G112" i="2" s="1"/>
  <c r="G139" i="2"/>
  <c r="G141" i="2" s="1"/>
  <c r="E141" i="2"/>
  <c r="C252" i="2"/>
  <c r="C257" i="2" s="1"/>
  <c r="H124" i="2"/>
  <c r="H129" i="2" s="1"/>
  <c r="H125" i="2"/>
  <c r="H130" i="2" s="1"/>
  <c r="N223" i="2"/>
  <c r="P223" i="2"/>
  <c r="M223" i="2"/>
  <c r="O223" i="2"/>
  <c r="I125" i="2"/>
  <c r="I130" i="2" s="1"/>
  <c r="K125" i="2"/>
  <c r="K130" i="2" s="1"/>
  <c r="K123" i="2"/>
  <c r="K128" i="2" s="1"/>
  <c r="J123" i="2"/>
  <c r="P27" i="2"/>
  <c r="O27" i="2"/>
  <c r="N27" i="2"/>
  <c r="M27" i="2"/>
  <c r="C251" i="2"/>
  <c r="C256" i="2" s="1"/>
  <c r="C124" i="2"/>
  <c r="C129" i="2" s="1"/>
  <c r="C126" i="1"/>
  <c r="C131" i="1" s="1"/>
  <c r="O123" i="2"/>
  <c r="O250" i="2"/>
  <c r="O255" i="2" s="1"/>
  <c r="M251" i="2"/>
  <c r="M256" i="2" s="1"/>
  <c r="P123" i="2"/>
  <c r="P250" i="2"/>
  <c r="P255" i="2" s="1"/>
  <c r="M130" i="2"/>
  <c r="H123" i="2"/>
  <c r="H128" i="2" s="1"/>
  <c r="M250" i="2"/>
  <c r="M255" i="2" s="1"/>
  <c r="J124" i="2"/>
  <c r="J129" i="2" s="1"/>
  <c r="O251" i="2"/>
  <c r="O256" i="2" s="1"/>
  <c r="O124" i="2"/>
  <c r="O129" i="2" s="1"/>
  <c r="N125" i="2"/>
  <c r="N130" i="2" s="1"/>
  <c r="P125" i="2"/>
  <c r="P130" i="2" s="1"/>
  <c r="I124" i="2"/>
  <c r="I129" i="2" s="1"/>
  <c r="N124" i="2"/>
  <c r="N129" i="2" s="1"/>
  <c r="N251" i="2"/>
  <c r="N256" i="2" s="1"/>
  <c r="I123" i="2"/>
  <c r="I128" i="2" s="1"/>
  <c r="N250" i="2"/>
  <c r="N255" i="2" s="1"/>
  <c r="N123" i="2"/>
  <c r="K124" i="2"/>
  <c r="K129" i="2" s="1"/>
  <c r="P251" i="2"/>
  <c r="P256" i="2" s="1"/>
  <c r="P124" i="2"/>
  <c r="P129" i="2" s="1"/>
  <c r="J125" i="2"/>
  <c r="J130" i="2" s="1"/>
  <c r="O125" i="2"/>
  <c r="O130" i="2" s="1"/>
  <c r="G71" i="2"/>
  <c r="K72" i="2"/>
  <c r="H72" i="2"/>
  <c r="E21" i="2"/>
  <c r="H250" i="2"/>
  <c r="H255" i="2" s="1"/>
  <c r="I250" i="2"/>
  <c r="I255" i="2" s="1"/>
  <c r="K250" i="2"/>
  <c r="I251" i="2"/>
  <c r="I256" i="2" s="1"/>
  <c r="K251" i="2"/>
  <c r="H251" i="2"/>
  <c r="H256" i="2" s="1"/>
  <c r="J250" i="2"/>
  <c r="J255" i="2" s="1"/>
  <c r="J251" i="2"/>
  <c r="J256" i="2" s="1"/>
  <c r="F149" i="2"/>
  <c r="F155" i="2" s="1"/>
  <c r="E217" i="2"/>
  <c r="E223" i="2" s="1"/>
  <c r="D194" i="2"/>
  <c r="D200" i="2" s="1"/>
  <c r="F72" i="2"/>
  <c r="F44" i="2"/>
  <c r="F50" i="2" s="1"/>
  <c r="D89" i="2"/>
  <c r="D95" i="2" s="1"/>
  <c r="F239" i="2"/>
  <c r="F246" i="2" s="1"/>
  <c r="J72" i="2"/>
  <c r="I27" i="2"/>
  <c r="J27" i="2"/>
  <c r="D21" i="2"/>
  <c r="F171" i="2"/>
  <c r="F177" i="2" s="1"/>
  <c r="F194" i="2"/>
  <c r="F200" i="2" s="1"/>
  <c r="H246" i="2"/>
  <c r="M246" i="2"/>
  <c r="E239" i="2"/>
  <c r="C246" i="2"/>
  <c r="G19" i="2"/>
  <c r="F217" i="2"/>
  <c r="F223" i="2" s="1"/>
  <c r="F125" i="2"/>
  <c r="F130" i="2" s="1"/>
  <c r="K27" i="2"/>
  <c r="H27" i="2"/>
  <c r="M155" i="2"/>
  <c r="J177" i="2"/>
  <c r="G34" i="2"/>
  <c r="G35" i="2" s="1"/>
  <c r="I177" i="2"/>
  <c r="C223" i="2"/>
  <c r="I246" i="2"/>
  <c r="N246" i="2"/>
  <c r="H50" i="2"/>
  <c r="C72" i="2"/>
  <c r="K95" i="2"/>
  <c r="K200" i="2"/>
  <c r="H223" i="2"/>
  <c r="J246" i="2"/>
  <c r="O246" i="2"/>
  <c r="I50" i="2"/>
  <c r="I95" i="2"/>
  <c r="J118" i="2"/>
  <c r="O118" i="2"/>
  <c r="K155" i="2"/>
  <c r="P155" i="2"/>
  <c r="J200" i="2"/>
  <c r="G49" i="2"/>
  <c r="K118" i="2"/>
  <c r="P118" i="2"/>
  <c r="H177" i="2"/>
  <c r="K246" i="2"/>
  <c r="P246" i="2"/>
  <c r="F89" i="2"/>
  <c r="F95" i="2" s="1"/>
  <c r="D149" i="2"/>
  <c r="D155" i="2" s="1"/>
  <c r="D239" i="2"/>
  <c r="D246" i="2" s="1"/>
  <c r="E35" i="2"/>
  <c r="D171" i="2"/>
  <c r="D177" i="2" s="1"/>
  <c r="J50" i="2"/>
  <c r="J95" i="2"/>
  <c r="C118" i="2"/>
  <c r="H118" i="2"/>
  <c r="M118" i="2"/>
  <c r="G154" i="2"/>
  <c r="I155" i="2"/>
  <c r="N155" i="2"/>
  <c r="H200" i="2"/>
  <c r="G208" i="2"/>
  <c r="I223" i="2"/>
  <c r="G245" i="2"/>
  <c r="G57" i="2"/>
  <c r="D118" i="2"/>
  <c r="D217" i="2"/>
  <c r="K177" i="2"/>
  <c r="C50" i="2"/>
  <c r="K50" i="2"/>
  <c r="E103" i="2"/>
  <c r="E118" i="2" s="1"/>
  <c r="I118" i="2"/>
  <c r="N118" i="2"/>
  <c r="J155" i="2"/>
  <c r="O155" i="2"/>
  <c r="I200" i="2"/>
  <c r="J223" i="2"/>
  <c r="K223" i="2"/>
  <c r="D125" i="2"/>
  <c r="D130" i="2" s="1"/>
  <c r="G50" i="1"/>
  <c r="G118" i="1"/>
  <c r="G24" i="2"/>
  <c r="G26" i="2" s="1"/>
  <c r="D123" i="2"/>
  <c r="D128" i="2" s="1"/>
  <c r="E171" i="2"/>
  <c r="E177" i="2" s="1"/>
  <c r="C95" i="2"/>
  <c r="C200" i="2"/>
  <c r="F250" i="2"/>
  <c r="F255" i="2" s="1"/>
  <c r="C155" i="2"/>
  <c r="E149" i="2"/>
  <c r="E155" i="2" s="1"/>
  <c r="E72" i="2"/>
  <c r="D44" i="2"/>
  <c r="D50" i="2" s="1"/>
  <c r="E44" i="2"/>
  <c r="D252" i="2"/>
  <c r="D257" i="2" s="1"/>
  <c r="E26" i="2"/>
  <c r="E125" i="2" s="1"/>
  <c r="E130" i="2" s="1"/>
  <c r="F252" i="2"/>
  <c r="F257" i="2" s="1"/>
  <c r="F21" i="2"/>
  <c r="G20" i="2"/>
  <c r="C27" i="2"/>
  <c r="G10" i="2"/>
  <c r="E89" i="2"/>
  <c r="E95" i="2" s="1"/>
  <c r="F123" i="2"/>
  <c r="F128" i="2" s="1"/>
  <c r="E194" i="2"/>
  <c r="E200" i="2" s="1"/>
  <c r="G199" i="2"/>
  <c r="D208" i="2"/>
  <c r="G169" i="1"/>
  <c r="C67" i="1"/>
  <c r="E240" i="1"/>
  <c r="F240" i="1"/>
  <c r="H240" i="1"/>
  <c r="I240" i="1"/>
  <c r="J240" i="1"/>
  <c r="K240" i="1"/>
  <c r="M240" i="1"/>
  <c r="N240" i="1"/>
  <c r="O240" i="1"/>
  <c r="P240" i="1"/>
  <c r="D240" i="1"/>
  <c r="H218" i="1"/>
  <c r="I218" i="1"/>
  <c r="J218" i="1"/>
  <c r="K218" i="1"/>
  <c r="M218" i="1"/>
  <c r="N218" i="1"/>
  <c r="O218" i="1"/>
  <c r="P218" i="1"/>
  <c r="E218" i="1"/>
  <c r="F218" i="1"/>
  <c r="D218" i="1"/>
  <c r="E250" i="2" l="1"/>
  <c r="G118" i="2"/>
  <c r="M253" i="2"/>
  <c r="M259" i="2" s="1"/>
  <c r="N253" i="2"/>
  <c r="N259" i="2" s="1"/>
  <c r="O253" i="2"/>
  <c r="O259" i="2" s="1"/>
  <c r="E251" i="2"/>
  <c r="P253" i="2"/>
  <c r="P259" i="2" s="1"/>
  <c r="J252" i="2"/>
  <c r="J257" i="2" s="1"/>
  <c r="J253" i="2"/>
  <c r="J259" i="2" s="1"/>
  <c r="E252" i="2"/>
  <c r="K252" i="2"/>
  <c r="K253" i="2"/>
  <c r="K259" i="2" s="1"/>
  <c r="I252" i="2"/>
  <c r="I257" i="2" s="1"/>
  <c r="I253" i="2"/>
  <c r="I259" i="2" s="1"/>
  <c r="H253" i="2"/>
  <c r="H259" i="2" s="1"/>
  <c r="H252" i="2"/>
  <c r="H257" i="2" s="1"/>
  <c r="G155" i="2"/>
  <c r="J128" i="2"/>
  <c r="H126" i="2"/>
  <c r="H132" i="2" s="1"/>
  <c r="J126" i="2"/>
  <c r="I126" i="2"/>
  <c r="I132" i="2" s="1"/>
  <c r="C253" i="2"/>
  <c r="C259" i="2" s="1"/>
  <c r="C126" i="2"/>
  <c r="C132" i="2" s="1"/>
  <c r="K126" i="2"/>
  <c r="N126" i="2"/>
  <c r="N128" i="2"/>
  <c r="M132" i="2"/>
  <c r="M128" i="2"/>
  <c r="M129" i="2"/>
  <c r="P252" i="2"/>
  <c r="P257" i="2" s="1"/>
  <c r="N252" i="2"/>
  <c r="N257" i="2" s="1"/>
  <c r="G125" i="2"/>
  <c r="G130" i="2" s="1"/>
  <c r="M252" i="2"/>
  <c r="M257" i="2" s="1"/>
  <c r="O252" i="2"/>
  <c r="O257" i="2" s="1"/>
  <c r="P128" i="2"/>
  <c r="P126" i="2"/>
  <c r="O126" i="2"/>
  <c r="O128" i="2"/>
  <c r="D223" i="2"/>
  <c r="E246" i="2"/>
  <c r="D124" i="2"/>
  <c r="D129" i="2" s="1"/>
  <c r="D72" i="2"/>
  <c r="G21" i="2"/>
  <c r="E123" i="2"/>
  <c r="E128" i="2" s="1"/>
  <c r="G89" i="2"/>
  <c r="G95" i="2" s="1"/>
  <c r="D250" i="2"/>
  <c r="D255" i="2" s="1"/>
  <c r="G217" i="2"/>
  <c r="G223" i="2" s="1"/>
  <c r="G72" i="2"/>
  <c r="G200" i="2"/>
  <c r="F124" i="2"/>
  <c r="F129" i="2" s="1"/>
  <c r="E50" i="2"/>
  <c r="D27" i="2"/>
  <c r="D251" i="2"/>
  <c r="G239" i="2"/>
  <c r="G246" i="2" s="1"/>
  <c r="G44" i="2"/>
  <c r="E255" i="2"/>
  <c r="F251" i="2"/>
  <c r="F256" i="2" s="1"/>
  <c r="G12" i="2"/>
  <c r="F27" i="2"/>
  <c r="E27" i="2"/>
  <c r="E257" i="2"/>
  <c r="G252" i="2"/>
  <c r="G257" i="2" s="1"/>
  <c r="E124" i="2"/>
  <c r="E129" i="2" s="1"/>
  <c r="F170" i="1"/>
  <c r="E170" i="1"/>
  <c r="D170" i="1"/>
  <c r="F81" i="1"/>
  <c r="E81" i="1"/>
  <c r="D81" i="1"/>
  <c r="F65" i="1"/>
  <c r="E65" i="1"/>
  <c r="E67" i="1" s="1"/>
  <c r="D65" i="1"/>
  <c r="D67" i="1" s="1"/>
  <c r="E253" i="2" l="1"/>
  <c r="E259" i="2" s="1"/>
  <c r="E256" i="2"/>
  <c r="D256" i="2"/>
  <c r="D253" i="2"/>
  <c r="D259" i="2" s="1"/>
  <c r="N132" i="2"/>
  <c r="P132" i="2"/>
  <c r="K132" i="2"/>
  <c r="J132" i="2"/>
  <c r="O132" i="2"/>
  <c r="G65" i="1"/>
  <c r="F126" i="2"/>
  <c r="F132" i="2" s="1"/>
  <c r="G124" i="2"/>
  <c r="G129" i="2" s="1"/>
  <c r="G251" i="2"/>
  <c r="G256" i="2" s="1"/>
  <c r="G50" i="2"/>
  <c r="G27" i="2"/>
  <c r="G250" i="2"/>
  <c r="G255" i="2" s="1"/>
  <c r="G123" i="2"/>
  <c r="F253" i="2"/>
  <c r="F259" i="2" s="1"/>
  <c r="D126" i="2"/>
  <c r="D132" i="2" s="1"/>
  <c r="E126" i="2"/>
  <c r="E132" i="2" s="1"/>
  <c r="G126" i="2" l="1"/>
  <c r="G132" i="2" s="1"/>
  <c r="G128" i="2"/>
  <c r="G253" i="2"/>
  <c r="G259" i="2" s="1"/>
  <c r="D177" i="1" l="1"/>
  <c r="I177" i="1"/>
  <c r="J177" i="1"/>
  <c r="K177" i="1"/>
  <c r="M177" i="1"/>
  <c r="N177" i="1"/>
  <c r="O177" i="1"/>
  <c r="P177" i="1"/>
  <c r="H177" i="1"/>
  <c r="E177" i="1"/>
  <c r="F177" i="1"/>
  <c r="G60" i="1"/>
  <c r="F90" i="1"/>
  <c r="E90" i="1"/>
  <c r="F72" i="1"/>
  <c r="E72" i="1"/>
  <c r="F67" i="1"/>
  <c r="E186" i="1"/>
  <c r="F186" i="1"/>
  <c r="E172" i="1"/>
  <c r="F172" i="1"/>
  <c r="E155" i="1"/>
  <c r="F155" i="1"/>
  <c r="E142" i="1"/>
  <c r="F142" i="1"/>
  <c r="E104" i="1"/>
  <c r="E119" i="1" s="1"/>
  <c r="F104" i="1"/>
  <c r="F119" i="1" s="1"/>
  <c r="E95" i="1"/>
  <c r="F95" i="1"/>
  <c r="D95" i="1"/>
  <c r="E58" i="1"/>
  <c r="F58" i="1"/>
  <c r="G155" i="1" l="1"/>
  <c r="F20" i="1"/>
  <c r="E20" i="1"/>
  <c r="D20" i="1"/>
  <c r="C223" i="1" l="1"/>
  <c r="C156" i="1"/>
  <c r="C96" i="1"/>
  <c r="C51" i="1"/>
  <c r="E195" i="1"/>
  <c r="F195" i="1"/>
  <c r="H195" i="1"/>
  <c r="I195" i="1"/>
  <c r="J195" i="1"/>
  <c r="K195" i="1"/>
  <c r="M195" i="1"/>
  <c r="N195" i="1"/>
  <c r="O195" i="1"/>
  <c r="P195" i="1"/>
  <c r="G177" i="1"/>
  <c r="G110" i="1"/>
  <c r="C253" i="1" l="1"/>
  <c r="C258" i="1" s="1"/>
  <c r="C201" i="1"/>
  <c r="C224" i="1"/>
  <c r="C178" i="1"/>
  <c r="C119" i="1"/>
  <c r="G104" i="1"/>
  <c r="G95" i="1"/>
  <c r="H58" i="1"/>
  <c r="I58" i="1"/>
  <c r="J58" i="1"/>
  <c r="K58" i="1"/>
  <c r="M58" i="1"/>
  <c r="N58" i="1"/>
  <c r="P58" i="1"/>
  <c r="G40" i="1"/>
  <c r="G39" i="1"/>
  <c r="G31" i="1"/>
  <c r="G240" i="1"/>
  <c r="G218" i="1"/>
  <c r="G171" i="1"/>
  <c r="G112" i="1"/>
  <c r="G113" i="1" s="1"/>
  <c r="G21" i="1"/>
  <c r="G170" i="1"/>
  <c r="G142" i="1"/>
  <c r="I22" i="1"/>
  <c r="J22" i="1"/>
  <c r="K22" i="1"/>
  <c r="M22" i="1"/>
  <c r="N22" i="1"/>
  <c r="O22" i="1"/>
  <c r="P22" i="1"/>
  <c r="H22" i="1"/>
  <c r="E22" i="1"/>
  <c r="F22" i="1"/>
  <c r="G119" i="1" l="1"/>
  <c r="G172" i="1"/>
  <c r="C124" i="1"/>
  <c r="C129" i="1" s="1"/>
  <c r="C251" i="1"/>
  <c r="C256" i="1" s="1"/>
  <c r="C73" i="1"/>
  <c r="G72" i="1"/>
  <c r="G58" i="1"/>
  <c r="G90" i="1"/>
  <c r="G67" i="1"/>
  <c r="G20" i="1"/>
  <c r="C22" i="1"/>
  <c r="C28" i="1" s="1"/>
  <c r="G15" i="1"/>
  <c r="G10" i="1"/>
  <c r="G14" i="1"/>
  <c r="I12" i="1"/>
  <c r="J12" i="1"/>
  <c r="K12" i="1"/>
  <c r="M12" i="1"/>
  <c r="N12" i="1"/>
  <c r="O12" i="1"/>
  <c r="P12" i="1"/>
  <c r="E12" i="1"/>
  <c r="F12" i="1"/>
  <c r="G9" i="1"/>
  <c r="G12" i="1" l="1"/>
  <c r="C252" i="1"/>
  <c r="C257" i="1" s="1"/>
  <c r="C125" i="1"/>
  <c r="C130" i="1" s="1"/>
  <c r="C254" i="1" l="1"/>
  <c r="C260" i="1" s="1"/>
  <c r="C127" i="1"/>
  <c r="C133" i="1" s="1"/>
  <c r="G16" i="1"/>
  <c r="G22" i="1" s="1"/>
  <c r="D22" i="1"/>
  <c r="G24" i="1"/>
  <c r="G27" i="1" s="1"/>
  <c r="D27" i="1"/>
  <c r="E27" i="1"/>
  <c r="F27" i="1"/>
  <c r="H27" i="1"/>
  <c r="I27" i="1"/>
  <c r="J27" i="1"/>
  <c r="K27" i="1"/>
  <c r="M27" i="1"/>
  <c r="N27" i="1"/>
  <c r="O27" i="1"/>
  <c r="P27" i="1"/>
  <c r="E223" i="1"/>
  <c r="F223" i="1"/>
  <c r="G223" i="1"/>
  <c r="H223" i="1"/>
  <c r="I223" i="1"/>
  <c r="J223" i="1"/>
  <c r="K223" i="1"/>
  <c r="M223" i="1"/>
  <c r="N223" i="1"/>
  <c r="O223" i="1"/>
  <c r="P223" i="1"/>
  <c r="D223" i="1"/>
  <c r="H104" i="1"/>
  <c r="H119" i="1" s="1"/>
  <c r="I104" i="1"/>
  <c r="I119" i="1" s="1"/>
  <c r="J104" i="1"/>
  <c r="J119" i="1" s="1"/>
  <c r="K104" i="1"/>
  <c r="K119" i="1" s="1"/>
  <c r="N104" i="1"/>
  <c r="N119" i="1" s="1"/>
  <c r="O104" i="1"/>
  <c r="O119" i="1" s="1"/>
  <c r="P104" i="1"/>
  <c r="P119" i="1" s="1"/>
  <c r="D104" i="1"/>
  <c r="F45" i="1"/>
  <c r="H72" i="1"/>
  <c r="I72" i="1"/>
  <c r="J72" i="1"/>
  <c r="K72" i="1"/>
  <c r="M72" i="1"/>
  <c r="N72" i="1"/>
  <c r="O72" i="1"/>
  <c r="P72" i="1"/>
  <c r="D72" i="1"/>
  <c r="D195" i="1"/>
  <c r="E36" i="1"/>
  <c r="E124" i="1" s="1"/>
  <c r="E231" i="1"/>
  <c r="E247" i="1" s="1"/>
  <c r="F231" i="1"/>
  <c r="F247" i="1" s="1"/>
  <c r="G231" i="1"/>
  <c r="G247" i="1" s="1"/>
  <c r="H231" i="1"/>
  <c r="H247" i="1" s="1"/>
  <c r="I231" i="1"/>
  <c r="I247" i="1" s="1"/>
  <c r="J231" i="1"/>
  <c r="J247" i="1" s="1"/>
  <c r="K231" i="1"/>
  <c r="K247" i="1" s="1"/>
  <c r="M231" i="1"/>
  <c r="M247" i="1" s="1"/>
  <c r="N231" i="1"/>
  <c r="N247" i="1" s="1"/>
  <c r="O231" i="1"/>
  <c r="O247" i="1" s="1"/>
  <c r="P231" i="1"/>
  <c r="P247" i="1" s="1"/>
  <c r="D247" i="1"/>
  <c r="F209" i="1"/>
  <c r="G209" i="1"/>
  <c r="H209" i="1"/>
  <c r="I209" i="1"/>
  <c r="J209" i="1"/>
  <c r="K209" i="1"/>
  <c r="M209" i="1"/>
  <c r="N209" i="1"/>
  <c r="O209" i="1"/>
  <c r="P209" i="1"/>
  <c r="H186" i="1"/>
  <c r="I186" i="1"/>
  <c r="K186" i="1"/>
  <c r="M186" i="1"/>
  <c r="N186" i="1"/>
  <c r="O186" i="1"/>
  <c r="P186" i="1"/>
  <c r="H142" i="1"/>
  <c r="H156" i="1" s="1"/>
  <c r="I142" i="1"/>
  <c r="J142" i="1"/>
  <c r="K142" i="1"/>
  <c r="M142" i="1"/>
  <c r="N142" i="1"/>
  <c r="O142" i="1"/>
  <c r="P142" i="1"/>
  <c r="H90" i="1"/>
  <c r="H96" i="1" s="1"/>
  <c r="J90" i="1"/>
  <c r="K90" i="1"/>
  <c r="M90" i="1"/>
  <c r="N90" i="1"/>
  <c r="O90" i="1"/>
  <c r="P90" i="1"/>
  <c r="D90" i="1"/>
  <c r="I45" i="1"/>
  <c r="J45" i="1"/>
  <c r="K45" i="1"/>
  <c r="M45" i="1"/>
  <c r="N45" i="1"/>
  <c r="O45" i="1"/>
  <c r="P45" i="1"/>
  <c r="F36" i="1"/>
  <c r="F124" i="1" s="1"/>
  <c r="H36" i="1"/>
  <c r="I36" i="1"/>
  <c r="J36" i="1"/>
  <c r="K36" i="1"/>
  <c r="M36" i="1"/>
  <c r="N36" i="1"/>
  <c r="O36" i="1"/>
  <c r="P36" i="1"/>
  <c r="D36" i="1"/>
  <c r="D58" i="1"/>
  <c r="D73" i="1" s="1"/>
  <c r="D200" i="1"/>
  <c r="E200" i="1"/>
  <c r="F200" i="1"/>
  <c r="H200" i="1"/>
  <c r="I200" i="1"/>
  <c r="J200" i="1"/>
  <c r="K200" i="1"/>
  <c r="M200" i="1"/>
  <c r="N200" i="1"/>
  <c r="O200" i="1"/>
  <c r="P200" i="1"/>
  <c r="F178" i="1"/>
  <c r="E178" i="1"/>
  <c r="P172" i="1"/>
  <c r="O172" i="1"/>
  <c r="N172" i="1"/>
  <c r="K172" i="1"/>
  <c r="J172" i="1"/>
  <c r="I172" i="1"/>
  <c r="H172" i="1"/>
  <c r="D172" i="1"/>
  <c r="P155" i="1"/>
  <c r="O155" i="1"/>
  <c r="N155" i="1"/>
  <c r="M155" i="1"/>
  <c r="K155" i="1"/>
  <c r="J155" i="1"/>
  <c r="I155" i="1"/>
  <c r="G45" i="1"/>
  <c r="E45" i="1"/>
  <c r="D253" i="1" l="1"/>
  <c r="O224" i="1"/>
  <c r="D124" i="1"/>
  <c r="P126" i="1"/>
  <c r="P131" i="1" s="1"/>
  <c r="M124" i="1"/>
  <c r="M129" i="1" s="1"/>
  <c r="P125" i="1"/>
  <c r="P130" i="1" s="1"/>
  <c r="K125" i="1"/>
  <c r="K130" i="1" s="1"/>
  <c r="P124" i="1"/>
  <c r="P129" i="1" s="1"/>
  <c r="O124" i="1"/>
  <c r="O129" i="1" s="1"/>
  <c r="M251" i="1"/>
  <c r="M256" i="1" s="1"/>
  <c r="N252" i="1"/>
  <c r="N257" i="1" s="1"/>
  <c r="K252" i="1"/>
  <c r="K257" i="1" s="1"/>
  <c r="I252" i="1"/>
  <c r="I257" i="1" s="1"/>
  <c r="O126" i="1"/>
  <c r="O131" i="1" s="1"/>
  <c r="O253" i="1"/>
  <c r="O258" i="1" s="1"/>
  <c r="M126" i="1"/>
  <c r="M131" i="1" s="1"/>
  <c r="M253" i="1"/>
  <c r="M258" i="1" s="1"/>
  <c r="H253" i="1"/>
  <c r="H258" i="1" s="1"/>
  <c r="P253" i="1"/>
  <c r="P258" i="1" s="1"/>
  <c r="O251" i="1"/>
  <c r="O256" i="1" s="1"/>
  <c r="N251" i="1"/>
  <c r="N256" i="1" s="1"/>
  <c r="K124" i="1"/>
  <c r="K129" i="1" s="1"/>
  <c r="K251" i="1"/>
  <c r="K256" i="1" s="1"/>
  <c r="I251" i="1"/>
  <c r="I256" i="1" s="1"/>
  <c r="O252" i="1"/>
  <c r="O257" i="1" s="1"/>
  <c r="O125" i="1"/>
  <c r="O130" i="1" s="1"/>
  <c r="M252" i="1"/>
  <c r="M257" i="1" s="1"/>
  <c r="M125" i="1"/>
  <c r="M130" i="1" s="1"/>
  <c r="H252" i="1"/>
  <c r="H257" i="1" s="1"/>
  <c r="N253" i="1"/>
  <c r="N258" i="1" s="1"/>
  <c r="K126" i="1"/>
  <c r="K131" i="1" s="1"/>
  <c r="K253" i="1"/>
  <c r="K258" i="1" s="1"/>
  <c r="I253" i="1"/>
  <c r="I258" i="1" s="1"/>
  <c r="P251" i="1"/>
  <c r="P256" i="1" s="1"/>
  <c r="H251" i="1"/>
  <c r="H256" i="1" s="1"/>
  <c r="J252" i="1"/>
  <c r="J257" i="1" s="1"/>
  <c r="J251" i="1"/>
  <c r="J256" i="1" s="1"/>
  <c r="J253" i="1"/>
  <c r="J258" i="1" s="1"/>
  <c r="P252" i="1"/>
  <c r="P257" i="1" s="1"/>
  <c r="G164" i="1"/>
  <c r="G178" i="1" s="1"/>
  <c r="D178" i="1"/>
  <c r="F129" i="1"/>
  <c r="D126" i="1"/>
  <c r="D131" i="1" s="1"/>
  <c r="E125" i="1"/>
  <c r="E130" i="1" s="1"/>
  <c r="F125" i="1"/>
  <c r="F130" i="1" s="1"/>
  <c r="E126" i="1"/>
  <c r="E131" i="1" s="1"/>
  <c r="G125" i="1"/>
  <c r="G130" i="1" s="1"/>
  <c r="F126" i="1"/>
  <c r="F131" i="1" s="1"/>
  <c r="D251" i="1"/>
  <c r="D28" i="1"/>
  <c r="M96" i="1"/>
  <c r="D156" i="1"/>
  <c r="D96" i="1"/>
  <c r="J96" i="1"/>
  <c r="G28" i="1"/>
  <c r="N178" i="1"/>
  <c r="F96" i="1"/>
  <c r="I51" i="1"/>
  <c r="K51" i="1"/>
  <c r="N51" i="1"/>
  <c r="P51" i="1"/>
  <c r="G96" i="1"/>
  <c r="G36" i="1"/>
  <c r="G124" i="1" s="1"/>
  <c r="I73" i="1"/>
  <c r="M73" i="1"/>
  <c r="D119" i="1"/>
  <c r="G201" i="1"/>
  <c r="G126" i="1"/>
  <c r="G131" i="1" s="1"/>
  <c r="P28" i="1"/>
  <c r="N28" i="1"/>
  <c r="K28" i="1"/>
  <c r="I28" i="1"/>
  <c r="E28" i="1"/>
  <c r="M178" i="1"/>
  <c r="O96" i="1"/>
  <c r="H224" i="1"/>
  <c r="K178" i="1"/>
  <c r="P96" i="1"/>
  <c r="F28" i="1"/>
  <c r="P224" i="1"/>
  <c r="J178" i="1"/>
  <c r="E201" i="1"/>
  <c r="N224" i="1"/>
  <c r="G224" i="1"/>
  <c r="F51" i="1"/>
  <c r="F224" i="1"/>
  <c r="F256" i="1"/>
  <c r="O178" i="1"/>
  <c r="H178" i="1"/>
  <c r="D224" i="1"/>
  <c r="M224" i="1"/>
  <c r="J224" i="1"/>
  <c r="O28" i="1"/>
  <c r="M28" i="1"/>
  <c r="J28" i="1"/>
  <c r="H28" i="1"/>
  <c r="D258" i="1"/>
  <c r="H51" i="1"/>
  <c r="J51" i="1"/>
  <c r="M51" i="1"/>
  <c r="O51" i="1"/>
  <c r="E256" i="1"/>
  <c r="H73" i="1"/>
  <c r="J73" i="1"/>
  <c r="O73" i="1"/>
  <c r="N73" i="1"/>
  <c r="I96" i="1"/>
  <c r="N96" i="1"/>
  <c r="E253" i="1"/>
  <c r="E258" i="1" s="1"/>
  <c r="I178" i="1"/>
  <c r="P178" i="1"/>
  <c r="O201" i="1"/>
  <c r="M201" i="1"/>
  <c r="J201" i="1"/>
  <c r="H201" i="1"/>
  <c r="E224" i="1"/>
  <c r="I224" i="1"/>
  <c r="K224" i="1"/>
  <c r="F253" i="1"/>
  <c r="F258" i="1" s="1"/>
  <c r="K96" i="1"/>
  <c r="E73" i="1"/>
  <c r="D45" i="1"/>
  <c r="D252" i="1" s="1"/>
  <c r="K73" i="1"/>
  <c r="P73" i="1"/>
  <c r="F73" i="1"/>
  <c r="P201" i="1"/>
  <c r="N201" i="1"/>
  <c r="K201" i="1"/>
  <c r="I201" i="1"/>
  <c r="F201" i="1"/>
  <c r="D201" i="1"/>
  <c r="E96" i="1"/>
  <c r="P156" i="1"/>
  <c r="N156" i="1"/>
  <c r="K156" i="1"/>
  <c r="I156" i="1"/>
  <c r="G156" i="1"/>
  <c r="E156" i="1"/>
  <c r="O156" i="1"/>
  <c r="M156" i="1"/>
  <c r="J156" i="1"/>
  <c r="F156" i="1"/>
  <c r="E51" i="1"/>
  <c r="F252" i="1"/>
  <c r="F257" i="1" s="1"/>
  <c r="G257" i="1"/>
  <c r="O254" i="1" l="1"/>
  <c r="O260" i="1" s="1"/>
  <c r="P254" i="1"/>
  <c r="P260" i="1" s="1"/>
  <c r="D254" i="1"/>
  <c r="D260" i="1" s="1"/>
  <c r="H254" i="1"/>
  <c r="H260" i="1" s="1"/>
  <c r="N254" i="1"/>
  <c r="J254" i="1"/>
  <c r="J260" i="1" s="1"/>
  <c r="I254" i="1"/>
  <c r="I260" i="1" s="1"/>
  <c r="M127" i="1"/>
  <c r="M133" i="1" s="1"/>
  <c r="M254" i="1"/>
  <c r="M260" i="1" s="1"/>
  <c r="K127" i="1"/>
  <c r="K133" i="1" s="1"/>
  <c r="K254" i="1"/>
  <c r="K260" i="1" s="1"/>
  <c r="P127" i="1"/>
  <c r="P133" i="1" s="1"/>
  <c r="N127" i="1"/>
  <c r="N133" i="1" s="1"/>
  <c r="I127" i="1"/>
  <c r="I133" i="1" s="1"/>
  <c r="O127" i="1"/>
  <c r="O133" i="1" s="1"/>
  <c r="J127" i="1"/>
  <c r="J133" i="1" s="1"/>
  <c r="E127" i="1"/>
  <c r="E133" i="1" s="1"/>
  <c r="D256" i="1"/>
  <c r="H127" i="1"/>
  <c r="H133" i="1" s="1"/>
  <c r="N260" i="1"/>
  <c r="D125" i="1"/>
  <c r="D130" i="1" s="1"/>
  <c r="E129" i="1"/>
  <c r="F127" i="1"/>
  <c r="F133" i="1" s="1"/>
  <c r="G51" i="1"/>
  <c r="D129" i="1"/>
  <c r="G251" i="1"/>
  <c r="G256" i="1" s="1"/>
  <c r="G253" i="1"/>
  <c r="G258" i="1" s="1"/>
  <c r="G73" i="1"/>
  <c r="D51" i="1"/>
  <c r="E252" i="1"/>
  <c r="E257" i="1" s="1"/>
  <c r="D257" i="1"/>
  <c r="F254" i="1"/>
  <c r="F260" i="1" s="1"/>
  <c r="D127" i="1" l="1"/>
  <c r="D133" i="1"/>
  <c r="G129" i="1"/>
  <c r="G127" i="1"/>
  <c r="G133" i="1" s="1"/>
  <c r="G254" i="1"/>
  <c r="G260" i="1" s="1"/>
  <c r="E254" i="1"/>
  <c r="E260" i="1" s="1"/>
</calcChain>
</file>

<file path=xl/sharedStrings.xml><?xml version="1.0" encoding="utf-8"?>
<sst xmlns="http://schemas.openxmlformats.org/spreadsheetml/2006/main" count="969" uniqueCount="252">
  <si>
    <t>Нормативный документ</t>
  </si>
  <si>
    <t>Наименование блюд или эквивалент</t>
  </si>
  <si>
    <t>Норма выпуска готового блюда</t>
  </si>
  <si>
    <t>белки,г</t>
  </si>
  <si>
    <t>жиры,г</t>
  </si>
  <si>
    <t>углеводы,г</t>
  </si>
  <si>
    <t>Пищевые вещества</t>
  </si>
  <si>
    <t>В1,мг</t>
  </si>
  <si>
    <t>С,мг</t>
  </si>
  <si>
    <t>А,мг</t>
  </si>
  <si>
    <t>Ca, мг</t>
  </si>
  <si>
    <t>Mg, мг</t>
  </si>
  <si>
    <t>P, мг</t>
  </si>
  <si>
    <t>Fe, мг</t>
  </si>
  <si>
    <t>Витамины</t>
  </si>
  <si>
    <t>Минеральные вещества</t>
  </si>
  <si>
    <t>1-й день</t>
  </si>
  <si>
    <t>Завтрак:</t>
  </si>
  <si>
    <t>Итого за прием пищи:</t>
  </si>
  <si>
    <t>Обед:</t>
  </si>
  <si>
    <t>Итого за день:</t>
  </si>
  <si>
    <t>5-й день</t>
  </si>
  <si>
    <t>8-й день</t>
  </si>
  <si>
    <t>Обед</t>
  </si>
  <si>
    <t>Макароны отварные</t>
  </si>
  <si>
    <t>Хлеб пшеничный</t>
  </si>
  <si>
    <t>№ 378 2008</t>
  </si>
  <si>
    <t>Хлеб дарницкий</t>
  </si>
  <si>
    <t>Пюре картофельное</t>
  </si>
  <si>
    <t>Соус красный основной</t>
  </si>
  <si>
    <t>Чай с сахаром и лимоном</t>
  </si>
  <si>
    <t>250/10</t>
  </si>
  <si>
    <t>50/150</t>
  </si>
  <si>
    <t>Запеканка творожная с молоком сгущеным</t>
  </si>
  <si>
    <t>Борщ из свежей капусты со сметаной</t>
  </si>
  <si>
    <t>Щи из свежей капусты со сметаной</t>
  </si>
  <si>
    <t>Напиток из плодов шиповника</t>
  </si>
  <si>
    <t>Запеканка картофельная с мясом</t>
  </si>
  <si>
    <t>250/25</t>
  </si>
  <si>
    <t>№1014 2008</t>
  </si>
  <si>
    <t>Полдник:</t>
  </si>
  <si>
    <t>Кисломолочный напиток "Снежок"</t>
  </si>
  <si>
    <t>Йогурт фруктовый питьевой</t>
  </si>
  <si>
    <t>№ 384 2008</t>
  </si>
  <si>
    <t>2 день</t>
  </si>
  <si>
    <t>3 день</t>
  </si>
  <si>
    <t>4 день</t>
  </si>
  <si>
    <t>6 день</t>
  </si>
  <si>
    <t>7 день</t>
  </si>
  <si>
    <t>9 день</t>
  </si>
  <si>
    <t>10 день</t>
  </si>
  <si>
    <t>Итого за день :</t>
  </si>
  <si>
    <t>Выполнение в % соотношении к норме за 10 дней</t>
  </si>
  <si>
    <t>Итого среднее за 10 дней:</t>
  </si>
  <si>
    <t>ИТОГО % выполнения по среднему</t>
  </si>
  <si>
    <t>НОРМА за 3 приема пищи</t>
  </si>
  <si>
    <t>200/10</t>
  </si>
  <si>
    <t>Среднее число за неделю: РАСЧЕТ для ДЕТЕЙ от 7 до 11 лет</t>
  </si>
  <si>
    <t>Блинчик</t>
  </si>
  <si>
    <t>100/20</t>
  </si>
  <si>
    <t>Котлета "Сочная"</t>
  </si>
  <si>
    <t xml:space="preserve">Сыр </t>
  </si>
  <si>
    <t>Батон нарезной</t>
  </si>
  <si>
    <t>Овощи свежие в нарезке</t>
  </si>
  <si>
    <t>Фрукт свежий</t>
  </si>
  <si>
    <t>Омлет натуральный</t>
  </si>
  <si>
    <t>Сок фруктовый</t>
  </si>
  <si>
    <t>Ватрушка с творогом</t>
  </si>
  <si>
    <t>Компот из свежих фруктов</t>
  </si>
  <si>
    <t>Плов из свинины</t>
  </si>
  <si>
    <t>Компот из сухофруктов</t>
  </si>
  <si>
    <t>Пудинг из творога со сгущенным молоком</t>
  </si>
  <si>
    <t>Жаркое по домашнему из филе птицы</t>
  </si>
  <si>
    <t>Салат из яблок</t>
  </si>
  <si>
    <t>Пряник детский</t>
  </si>
  <si>
    <t>№ 943, 2008</t>
  </si>
  <si>
    <t>Энергетическая ценность, ккал</t>
  </si>
  <si>
    <t>Среднее число за 10 дней: РАСЧЕТ для ДЕТЕЙ от 7 до 11 лет</t>
  </si>
  <si>
    <t>Выполнение в % соотношении к норме за 5 дней</t>
  </si>
  <si>
    <t>Итого среднее за 5 дней:</t>
  </si>
  <si>
    <t>Бутерброд с сыром и маслом</t>
  </si>
  <si>
    <t>20/20/10</t>
  </si>
  <si>
    <t>Булочка " Лакомка"</t>
  </si>
  <si>
    <t>Кекс "Домашний"</t>
  </si>
  <si>
    <t xml:space="preserve">Среднее число за неделю: РАСЧЕТ для ДЕТЕЙ от 12 лет и старше </t>
  </si>
  <si>
    <t>80/20</t>
  </si>
  <si>
    <t xml:space="preserve">Яйцо вареное </t>
  </si>
  <si>
    <t>№ 413, 2008</t>
  </si>
  <si>
    <t xml:space="preserve">Суп гороховый с гренками с курой </t>
  </si>
  <si>
    <t>250/20</t>
  </si>
  <si>
    <t xml:space="preserve">Среднее число за 10 дней: РАСЧЕТ для ДЕТЕЙ от 12 лет и старше </t>
  </si>
  <si>
    <t>220/10</t>
  </si>
  <si>
    <t>Распор. МП КШП № 1</t>
  </si>
  <si>
    <t>распор. МП КШП № 1</t>
  </si>
  <si>
    <t>распор. МП КШП № 3</t>
  </si>
  <si>
    <t>распор. МП КШП № 398</t>
  </si>
  <si>
    <t>распор МП КШП № 139</t>
  </si>
  <si>
    <t>распор. МП КШП № 622</t>
  </si>
  <si>
    <t>распор. МП КШП № 332/1</t>
  </si>
  <si>
    <t>№ 847, 2008</t>
  </si>
  <si>
    <t>№ 3, 2008</t>
  </si>
  <si>
    <t>№ 384, 2008</t>
  </si>
  <si>
    <t>Распор. МП КШП № 770</t>
  </si>
  <si>
    <t>№ 187, 2008</t>
  </si>
  <si>
    <t>распор МП КШП  №973</t>
  </si>
  <si>
    <t>распор МП КШП  № 973</t>
  </si>
  <si>
    <t>№ 378, 2008</t>
  </si>
  <si>
    <t>Распор МП КШП №942</t>
  </si>
  <si>
    <t>распор МП КШП  №425</t>
  </si>
  <si>
    <t>№ 438, 2008</t>
  </si>
  <si>
    <t>№299, 2008</t>
  </si>
  <si>
    <t>№ 965, 2008</t>
  </si>
  <si>
    <t>№ 209, 2007</t>
  </si>
  <si>
    <t>№ 256, 2008</t>
  </si>
  <si>
    <t>распор. МП КШП № 357</t>
  </si>
  <si>
    <t>№ 944, 2008</t>
  </si>
  <si>
    <t>№206, 2008</t>
  </si>
  <si>
    <t>№859, 2008</t>
  </si>
  <si>
    <t>№966, 2008</t>
  </si>
  <si>
    <t>№ 42, 2008</t>
  </si>
  <si>
    <t>№210, 2008</t>
  </si>
  <si>
    <t>распор МП КШП  №69</t>
  </si>
  <si>
    <t>№ 265, 2007</t>
  </si>
  <si>
    <t>№ 14, 2007</t>
  </si>
  <si>
    <t>распор МП КШП  №595</t>
  </si>
  <si>
    <t>№ 1042, 2008</t>
  </si>
  <si>
    <t>№209, 2008</t>
  </si>
  <si>
    <t>№ 20, 2007</t>
  </si>
  <si>
    <t>№170, 2008</t>
  </si>
  <si>
    <t>№ 170, 2008</t>
  </si>
  <si>
    <t>распор. МП КШП № 934</t>
  </si>
  <si>
    <t xml:space="preserve"> № 413, 2008</t>
  </si>
  <si>
    <t>распор МП КШП  №567</t>
  </si>
  <si>
    <t>№ 265, 2008</t>
  </si>
  <si>
    <t>№ 944, 2007</t>
  </si>
  <si>
    <t>200/10/5</t>
  </si>
  <si>
    <t>ТефтельКа</t>
  </si>
  <si>
    <t>Суп картофельный с рыбными фрикадельками</t>
  </si>
  <si>
    <t xml:space="preserve">Греча  отварная </t>
  </si>
  <si>
    <t>250/15</t>
  </si>
  <si>
    <t>Гематоген</t>
  </si>
  <si>
    <t>Винегрет  овощной</t>
  </si>
  <si>
    <t>150/20</t>
  </si>
  <si>
    <t>Каша молочная пшенная с маслом</t>
  </si>
  <si>
    <t>Каша молочная из овсяных хлопьев с маслом</t>
  </si>
  <si>
    <t>Каша молочная гречневая с маслом</t>
  </si>
  <si>
    <t>В2,мг</t>
  </si>
  <si>
    <t>К,мг</t>
  </si>
  <si>
    <t>I,мг</t>
  </si>
  <si>
    <t>Se,мг</t>
  </si>
  <si>
    <t>F,мг</t>
  </si>
  <si>
    <t>D, мкг</t>
  </si>
  <si>
    <t>Суммарные объемы блюд</t>
  </si>
  <si>
    <t xml:space="preserve">№210, 2008 </t>
  </si>
  <si>
    <t>распор МП КШП  №1085</t>
  </si>
  <si>
    <t xml:space="preserve">Каша молочная из овсяных хлопьев с маслом </t>
  </si>
  <si>
    <t>распор. МП КШП № 426</t>
  </si>
  <si>
    <t>распор. МП КШП № 251</t>
  </si>
  <si>
    <t>Компот из вишни</t>
  </si>
  <si>
    <t>распор МП КШП №601</t>
  </si>
  <si>
    <t>Чай с сахаром "Школьный"</t>
  </si>
  <si>
    <t xml:space="preserve">Салат из свежих огурцов с яйцом </t>
  </si>
  <si>
    <t>№ 100, 2008</t>
  </si>
  <si>
    <t>распор МП КШП  № 1094</t>
  </si>
  <si>
    <t>распор. МП КШП № 42</t>
  </si>
  <si>
    <t>распор. МП КШП № 6</t>
  </si>
  <si>
    <t xml:space="preserve">                                                                                                                                                    Обед:</t>
  </si>
  <si>
    <t xml:space="preserve">Гематоген </t>
  </si>
  <si>
    <t>№396, 2007</t>
  </si>
  <si>
    <t>Распор. МП КШП №511</t>
  </si>
  <si>
    <t>Сгущенное молоко</t>
  </si>
  <si>
    <t>Рыбные шарики в соусе</t>
  </si>
  <si>
    <t>распор МП КШП  №517</t>
  </si>
  <si>
    <t>распор МП КШП №781</t>
  </si>
  <si>
    <t>распор МП КШП №07-01/1029</t>
  </si>
  <si>
    <t>Напиток Чай с шиповником, с сахаром</t>
  </si>
  <si>
    <t>распор МП КШП №1085</t>
  </si>
  <si>
    <t>№ 959, 2008</t>
  </si>
  <si>
    <t>Какао-напиток с витаминами</t>
  </si>
  <si>
    <t>Рис "Солнечный"</t>
  </si>
  <si>
    <t>№ 682, 2008</t>
  </si>
  <si>
    <t>расп МП КШП №1122/1</t>
  </si>
  <si>
    <t>Фрикассе из филе птицы в сметанном соусе</t>
  </si>
  <si>
    <t>Огурец свежий</t>
  </si>
  <si>
    <t>Мороженое сливочное</t>
  </si>
  <si>
    <t>№ 115, 2007</t>
  </si>
  <si>
    <t>Суп деревенский с курой</t>
  </si>
  <si>
    <t>№ 246, 2008</t>
  </si>
  <si>
    <t>Помидор свежий</t>
  </si>
  <si>
    <t>№ 417, 2016</t>
  </si>
  <si>
    <t xml:space="preserve">Каша молочная рисовая с маслом </t>
  </si>
  <si>
    <t>№209, 2007</t>
  </si>
  <si>
    <t>Мармелад фруктовый</t>
  </si>
  <si>
    <t>Распор. МП КШП № 1098</t>
  </si>
  <si>
    <t>Кисель витаминизированный</t>
  </si>
  <si>
    <t>распор. МП КШП № 722</t>
  </si>
  <si>
    <t>Булочка глазированная с маком</t>
  </si>
  <si>
    <t>№ 608, 2008</t>
  </si>
  <si>
    <t>Котлетка "Аппетитная"</t>
  </si>
  <si>
    <t>Пюре фруктовое питьевое</t>
  </si>
  <si>
    <t>распор МП КШП  № 07-01/1118</t>
  </si>
  <si>
    <t>Наггетсы куриные</t>
  </si>
  <si>
    <t>Булгур</t>
  </si>
  <si>
    <t>№682, 2008</t>
  </si>
  <si>
    <t>распор. МП КШП № 1069</t>
  </si>
  <si>
    <t>Каша молочная пшеничная с маслом</t>
  </si>
  <si>
    <t>распор МП КШП  №1084</t>
  </si>
  <si>
    <t>№ 59, 2007</t>
  </si>
  <si>
    <t>Жаркое по-домашнему из филе</t>
  </si>
  <si>
    <t>распор. МП КШП № 1038</t>
  </si>
  <si>
    <t>Суп картофельный с крупой гречневой</t>
  </si>
  <si>
    <t>Напиток фруктово-ягодный</t>
  </si>
  <si>
    <t xml:space="preserve">Булочка лакомка </t>
  </si>
  <si>
    <t>Распор. МП КШП № 710</t>
  </si>
  <si>
    <t>Свекольник со сметаной</t>
  </si>
  <si>
    <t>Компот из клубники и черной смородины</t>
  </si>
  <si>
    <t>Печенье Зиг-Заг</t>
  </si>
  <si>
    <t>Распор. МП КШП № 534</t>
  </si>
  <si>
    <t>Оладьи куриные</t>
  </si>
  <si>
    <t>№259,2007</t>
  </si>
  <si>
    <t>Картофельные дольки</t>
  </si>
  <si>
    <t>Салат из свежих помидоров с растительным маслом</t>
  </si>
  <si>
    <t>распор МП КШП №1095</t>
  </si>
  <si>
    <t>Булочка "Сырная"</t>
  </si>
  <si>
    <t>Салат "Здоровье"</t>
  </si>
  <si>
    <t>Гуляш из говядины</t>
  </si>
  <si>
    <t>50/75</t>
  </si>
  <si>
    <t>Суп из овощей</t>
  </si>
  <si>
    <t>№ 591,2008</t>
  </si>
  <si>
    <t>№ 332, 2008</t>
  </si>
  <si>
    <t>Каша молочная "Дружба"</t>
  </si>
  <si>
    <t>Суп рисовый с говядиной</t>
  </si>
  <si>
    <t>распор. МП КШП № 1095</t>
  </si>
  <si>
    <t>Биточек рыбный по-домашнему</t>
  </si>
  <si>
    <t>распор. МП КШП № 401</t>
  </si>
  <si>
    <t>№696, 2008</t>
  </si>
  <si>
    <t>№391, 2016</t>
  </si>
  <si>
    <t>Повидло</t>
  </si>
  <si>
    <t>Салат из свежих огурцов</t>
  </si>
  <si>
    <t>Оладьи</t>
  </si>
  <si>
    <t>распор МП КШП №511</t>
  </si>
  <si>
    <t>№ 517, 2008</t>
  </si>
  <si>
    <t>распор МП КШП  № 780</t>
  </si>
  <si>
    <t>865</t>
  </si>
  <si>
    <t>Колбаска "Аппетитная"</t>
  </si>
  <si>
    <t>распор МП КШП №1061</t>
  </si>
  <si>
    <t>Котлета "Сочная" с соусом</t>
  </si>
  <si>
    <t>Салат из огурцов консервированных с маслом растительным</t>
  </si>
  <si>
    <t>100</t>
  </si>
  <si>
    <t xml:space="preserve">Салат из свежих огурцов  </t>
  </si>
  <si>
    <t>Салат из огурцов консервированных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</si>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</sst>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;[Red]0.00"/>
    <numFmt numFmtId="165" formatCode="0.0;[Red]0.0"/>
    <numFmt numFmtId="166" formatCode="0.0"/>
    <numFmt numFmtId="167" formatCode="0.000;[Red]0.000"/>
    <numFmt numFmtId="168" formatCode="0.0000;[Red]0.0000"/>
    <numFmt numFmtId="169" formatCode="0.000"/>
    <numFmt numFmtId="170" formatCode="0.0000"/>
    <numFmt numFmtId="171" formatCode="0;[Red]0"/>
  </numFmts>
  <fonts count="1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2" fillId="5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2" fontId="5" fillId="6" borderId="1" xfId="0" applyNumberFormat="1" applyFont="1" applyFill="1" applyBorder="1" applyAlignment="1">
      <alignment horizontal="left"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2" fontId="11" fillId="6" borderId="1" xfId="0" applyNumberFormat="1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166" fontId="4" fillId="5" borderId="2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167" fontId="5" fillId="6" borderId="1" xfId="0" applyNumberFormat="1" applyFont="1" applyFill="1" applyBorder="1" applyAlignment="1">
      <alignment horizontal="center" vertical="center"/>
    </xf>
    <xf numFmtId="168" fontId="5" fillId="6" borderId="1" xfId="0" applyNumberFormat="1" applyFont="1" applyFill="1" applyBorder="1" applyAlignment="1">
      <alignment horizontal="center" vertical="center"/>
    </xf>
    <xf numFmtId="169" fontId="5" fillId="6" borderId="2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/>
    </xf>
    <xf numFmtId="169" fontId="4" fillId="3" borderId="2" xfId="0" applyNumberFormat="1" applyFont="1" applyFill="1" applyBorder="1" applyAlignment="1">
      <alignment horizontal="center" vertical="center"/>
    </xf>
    <xf numFmtId="169" fontId="4" fillId="5" borderId="1" xfId="0" applyNumberFormat="1" applyFont="1" applyFill="1" applyBorder="1" applyAlignment="1">
      <alignment horizontal="center" vertical="center"/>
    </xf>
    <xf numFmtId="170" fontId="4" fillId="5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171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165" fontId="2" fillId="5" borderId="1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  <xf numFmtId="169" fontId="5" fillId="6" borderId="1" xfId="0" applyNumberFormat="1" applyFont="1" applyFill="1" applyBorder="1" applyAlignment="1">
      <alignment horizontal="center" vertical="center"/>
    </xf>
    <xf numFmtId="170" fontId="5" fillId="6" borderId="1" xfId="0" applyNumberFormat="1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/>
    </xf>
    <xf numFmtId="170" fontId="4" fillId="8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169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/>
    </xf>
    <xf numFmtId="169" fontId="4" fillId="5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390525</xdr:colOff>
      <xdr:row>3</xdr:row>
      <xdr:rowOff>9525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6173450" y="6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2"/>
  <sheetViews>
    <sheetView tabSelected="1" zoomScale="70" zoomScaleNormal="70" zoomScaleSheetLayoutView="70" workbookViewId="0">
      <pane xSplit="10" ySplit="6" topLeftCell="K88" activePane="bottomRight" state="frozen"/>
      <selection pane="topRight" activeCell="K1" sqref="K1"/>
      <selection pane="bottomLeft" activeCell="A7" sqref="A7"/>
      <selection pane="bottomRight" activeCell="AC252" sqref="AC252"/>
    </sheetView>
  </sheetViews>
  <sheetFormatPr defaultColWidth="8.85546875" defaultRowHeight="24" customHeight="1" x14ac:dyDescent="0.25"/>
  <cols>
    <col min="1" max="1" width="18.5703125" style="46" customWidth="1"/>
    <col min="2" max="2" width="28.42578125" style="28" customWidth="1"/>
    <col min="3" max="3" width="15.42578125" style="29" customWidth="1"/>
    <col min="4" max="4" width="7.85546875" style="29" customWidth="1"/>
    <col min="5" max="5" width="7.7109375" style="29" customWidth="1"/>
    <col min="6" max="6" width="10.85546875" style="29" customWidth="1"/>
    <col min="7" max="7" width="11.7109375" style="29" customWidth="1"/>
    <col min="8" max="8" width="8.85546875" style="29" customWidth="1"/>
    <col min="9" max="9" width="8.140625" style="29" customWidth="1"/>
    <col min="10" max="11" width="8.28515625" style="29" customWidth="1"/>
    <col min="12" max="12" width="7.7109375" style="29" customWidth="1"/>
    <col min="13" max="13" width="9.28515625" style="29" customWidth="1"/>
    <col min="14" max="14" width="9.85546875" style="29" customWidth="1"/>
    <col min="15" max="15" width="11.5703125" style="29" customWidth="1"/>
    <col min="16" max="16" width="8.85546875" style="29" customWidth="1"/>
    <col min="17" max="17" width="12.7109375" style="29" customWidth="1"/>
    <col min="18" max="18" width="7.85546875" style="29" customWidth="1"/>
    <col min="19" max="19" width="8.28515625" style="29" customWidth="1"/>
    <col min="20" max="16384" width="8.85546875" style="29"/>
  </cols>
  <sheetData>
    <row r="1" spans="1:20" ht="6.95" customHeight="1" x14ac:dyDescent="0.25"/>
    <row r="2" spans="1:20" ht="16.7" customHeight="1" x14ac:dyDescent="0.25">
      <c r="B2" s="32"/>
      <c r="C2" s="20"/>
      <c r="D2" s="20"/>
      <c r="E2" s="20"/>
      <c r="F2" s="20"/>
      <c r="G2" s="20"/>
      <c r="H2" s="254"/>
      <c r="I2" s="254"/>
      <c r="J2" s="254"/>
      <c r="K2" s="254"/>
      <c r="L2" s="254"/>
      <c r="M2" s="254"/>
      <c r="N2" s="254"/>
      <c r="O2" s="254"/>
      <c r="P2" s="254"/>
    </row>
    <row r="3" spans="1:20" ht="23.65" customHeight="1" x14ac:dyDescent="0.25">
      <c r="A3" s="255" t="s">
        <v>0</v>
      </c>
      <c r="B3" s="257" t="s">
        <v>1</v>
      </c>
      <c r="C3" s="259" t="s">
        <v>2</v>
      </c>
      <c r="D3" s="261" t="s">
        <v>6</v>
      </c>
      <c r="E3" s="262"/>
      <c r="F3" s="263"/>
      <c r="G3" s="259" t="s">
        <v>76</v>
      </c>
      <c r="H3" s="264" t="s">
        <v>14</v>
      </c>
      <c r="I3" s="265"/>
      <c r="J3" s="265"/>
      <c r="K3" s="265"/>
      <c r="L3" s="238"/>
      <c r="M3" s="223" t="s">
        <v>15</v>
      </c>
      <c r="N3" s="224"/>
      <c r="O3" s="224"/>
      <c r="P3" s="224"/>
      <c r="Q3" s="221"/>
      <c r="R3" s="221"/>
      <c r="S3" s="221"/>
      <c r="T3" s="222"/>
    </row>
    <row r="4" spans="1:20" ht="40.5" customHeight="1" x14ac:dyDescent="0.25">
      <c r="A4" s="256"/>
      <c r="B4" s="258"/>
      <c r="C4" s="260"/>
      <c r="D4" s="108" t="s">
        <v>3</v>
      </c>
      <c r="E4" s="108" t="s">
        <v>4</v>
      </c>
      <c r="F4" s="108" t="s">
        <v>5</v>
      </c>
      <c r="G4" s="260"/>
      <c r="H4" s="61" t="s">
        <v>7</v>
      </c>
      <c r="I4" s="61" t="s">
        <v>8</v>
      </c>
      <c r="J4" s="61" t="s">
        <v>9</v>
      </c>
      <c r="K4" s="61" t="s">
        <v>146</v>
      </c>
      <c r="L4" s="61" t="s">
        <v>151</v>
      </c>
      <c r="M4" s="61" t="s">
        <v>10</v>
      </c>
      <c r="N4" s="61" t="s">
        <v>11</v>
      </c>
      <c r="O4" s="61" t="s">
        <v>12</v>
      </c>
      <c r="P4" s="103" t="s">
        <v>13</v>
      </c>
      <c r="Q4" s="102" t="s">
        <v>147</v>
      </c>
      <c r="R4" s="102" t="s">
        <v>148</v>
      </c>
      <c r="S4" s="102" t="s">
        <v>149</v>
      </c>
      <c r="T4" s="102" t="s">
        <v>150</v>
      </c>
    </row>
    <row r="5" spans="1:20" ht="24" customHeight="1" x14ac:dyDescent="0.25">
      <c r="A5" s="246" t="s">
        <v>16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8"/>
      <c r="R5" s="248"/>
      <c r="S5" s="248"/>
      <c r="T5" s="249"/>
    </row>
    <row r="6" spans="1:20" ht="18.75" customHeight="1" x14ac:dyDescent="0.25">
      <c r="A6" s="250" t="s">
        <v>17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2"/>
    </row>
    <row r="7" spans="1:20" ht="31.5" x14ac:dyDescent="0.25">
      <c r="A7" s="106" t="s">
        <v>101</v>
      </c>
      <c r="B7" s="107" t="s">
        <v>143</v>
      </c>
      <c r="C7" s="109" t="s">
        <v>56</v>
      </c>
      <c r="D7" s="109">
        <v>8.7200000000000006</v>
      </c>
      <c r="E7" s="109">
        <v>10.199999999999999</v>
      </c>
      <c r="F7" s="109">
        <v>44.9</v>
      </c>
      <c r="G7" s="2">
        <f>(9*E7)+4*(F7+D7)</f>
        <v>306.27999999999997</v>
      </c>
      <c r="H7" s="35">
        <v>0.15</v>
      </c>
      <c r="I7" s="35">
        <v>1.2</v>
      </c>
      <c r="J7" s="35">
        <v>147.19999999999999</v>
      </c>
      <c r="K7" s="35">
        <v>0.1</v>
      </c>
      <c r="L7" s="35">
        <v>2.1</v>
      </c>
      <c r="M7" s="35">
        <v>149.80000000000001</v>
      </c>
      <c r="N7" s="35">
        <v>20.100000000000001</v>
      </c>
      <c r="O7" s="35">
        <v>162.5</v>
      </c>
      <c r="P7" s="71">
        <v>0.6</v>
      </c>
      <c r="Q7" s="102">
        <v>124</v>
      </c>
      <c r="R7" s="102">
        <v>2E-3</v>
      </c>
      <c r="S7" s="102">
        <v>5.4999999999999997E-3</v>
      </c>
      <c r="T7" s="102">
        <v>1</v>
      </c>
    </row>
    <row r="8" spans="1:20" ht="31.5" x14ac:dyDescent="0.25">
      <c r="A8" s="105" t="s">
        <v>100</v>
      </c>
      <c r="B8" s="107" t="s">
        <v>80</v>
      </c>
      <c r="C8" s="109" t="s">
        <v>81</v>
      </c>
      <c r="D8" s="109">
        <v>9.86</v>
      </c>
      <c r="E8" s="109">
        <v>11.74</v>
      </c>
      <c r="F8" s="109">
        <v>17.46</v>
      </c>
      <c r="G8" s="109">
        <f>D8*4+E8*9+F8*4</f>
        <v>214.94</v>
      </c>
      <c r="H8" s="109">
        <v>0.05</v>
      </c>
      <c r="I8" s="109">
        <v>0</v>
      </c>
      <c r="J8" s="109">
        <v>21</v>
      </c>
      <c r="K8" s="109">
        <v>0.1</v>
      </c>
      <c r="L8" s="109">
        <v>0.2</v>
      </c>
      <c r="M8" s="109">
        <v>126</v>
      </c>
      <c r="N8" s="109">
        <v>9.93</v>
      </c>
      <c r="O8" s="109">
        <v>71.66</v>
      </c>
      <c r="P8" s="110">
        <v>6.9000000000000006E-2</v>
      </c>
      <c r="Q8" s="102">
        <v>200</v>
      </c>
      <c r="R8" s="102">
        <v>0</v>
      </c>
      <c r="S8" s="102">
        <v>1E-3</v>
      </c>
      <c r="T8" s="102">
        <v>0.03</v>
      </c>
    </row>
    <row r="9" spans="1:20" ht="30.75" customHeight="1" x14ac:dyDescent="0.25">
      <c r="A9" s="106" t="s">
        <v>75</v>
      </c>
      <c r="B9" s="148" t="s">
        <v>160</v>
      </c>
      <c r="C9" s="109" t="s">
        <v>56</v>
      </c>
      <c r="D9" s="109">
        <v>0</v>
      </c>
      <c r="E9" s="109">
        <v>0</v>
      </c>
      <c r="F9" s="109">
        <v>9.9</v>
      </c>
      <c r="G9" s="109">
        <f t="shared" ref="G9:G11" si="0">(9*E9)+4*(F9+D9)</f>
        <v>39.6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12</v>
      </c>
      <c r="N9" s="109">
        <v>6</v>
      </c>
      <c r="O9" s="109">
        <v>8.24</v>
      </c>
      <c r="P9" s="110">
        <v>0.86</v>
      </c>
      <c r="Q9" s="102">
        <v>24</v>
      </c>
      <c r="R9" s="102">
        <v>0</v>
      </c>
      <c r="S9" s="102">
        <v>0</v>
      </c>
      <c r="T9" s="102">
        <v>0.2</v>
      </c>
    </row>
    <row r="10" spans="1:20" ht="25.5" x14ac:dyDescent="0.25">
      <c r="A10" s="105" t="s">
        <v>92</v>
      </c>
      <c r="B10" s="19" t="s">
        <v>25</v>
      </c>
      <c r="C10" s="21">
        <v>25</v>
      </c>
      <c r="D10" s="21">
        <v>1.52</v>
      </c>
      <c r="E10" s="21">
        <v>0.16</v>
      </c>
      <c r="F10" s="21">
        <v>9.98</v>
      </c>
      <c r="G10" s="11">
        <f t="shared" si="0"/>
        <v>47.44</v>
      </c>
      <c r="H10" s="21">
        <v>0.08</v>
      </c>
      <c r="I10" s="21">
        <v>0.04</v>
      </c>
      <c r="J10" s="21">
        <v>0</v>
      </c>
      <c r="K10" s="21">
        <v>0</v>
      </c>
      <c r="L10" s="21">
        <v>0</v>
      </c>
      <c r="M10" s="21">
        <v>15</v>
      </c>
      <c r="N10" s="21">
        <v>8.1999999999999993</v>
      </c>
      <c r="O10" s="21">
        <v>13</v>
      </c>
      <c r="P10" s="72">
        <v>0.72</v>
      </c>
      <c r="Q10" s="102">
        <v>18.2</v>
      </c>
      <c r="R10" s="102">
        <v>6.0000000000000001E-3</v>
      </c>
      <c r="S10" s="102">
        <v>1E-3</v>
      </c>
      <c r="T10" s="102">
        <v>0</v>
      </c>
    </row>
    <row r="11" spans="1:20" ht="15.75" x14ac:dyDescent="0.25">
      <c r="A11" s="105"/>
      <c r="B11" s="107" t="s">
        <v>167</v>
      </c>
      <c r="C11" s="109">
        <v>40</v>
      </c>
      <c r="D11" s="109">
        <v>2.8</v>
      </c>
      <c r="E11" s="109">
        <v>0.7</v>
      </c>
      <c r="F11" s="109">
        <v>11.86</v>
      </c>
      <c r="G11" s="2">
        <f t="shared" si="0"/>
        <v>64.94</v>
      </c>
      <c r="H11" s="114">
        <v>0.03</v>
      </c>
      <c r="I11" s="114">
        <v>10</v>
      </c>
      <c r="J11" s="114">
        <v>30</v>
      </c>
      <c r="K11" s="114">
        <v>0.04</v>
      </c>
      <c r="L11" s="114">
        <v>0</v>
      </c>
      <c r="M11" s="114">
        <v>9.5</v>
      </c>
      <c r="N11" s="114">
        <v>14</v>
      </c>
      <c r="O11" s="114">
        <v>9.5</v>
      </c>
      <c r="P11" s="111">
        <v>0.2</v>
      </c>
      <c r="Q11" s="102">
        <v>0.4</v>
      </c>
      <c r="R11" s="102">
        <v>1.7000000000000001E-2</v>
      </c>
      <c r="S11" s="102">
        <v>0</v>
      </c>
      <c r="T11" s="102">
        <v>0.5</v>
      </c>
    </row>
    <row r="12" spans="1:20" ht="24" customHeight="1" x14ac:dyDescent="0.25">
      <c r="A12" s="225" t="s">
        <v>18</v>
      </c>
      <c r="B12" s="240"/>
      <c r="C12" s="101">
        <v>535</v>
      </c>
      <c r="D12" s="4">
        <f>SUM(D7:D11)</f>
        <v>22.9</v>
      </c>
      <c r="E12" s="4">
        <f t="shared" ref="E12:T12" si="1">SUM(E7:E11)</f>
        <v>22.799999999999997</v>
      </c>
      <c r="F12" s="4">
        <f t="shared" si="1"/>
        <v>94.100000000000009</v>
      </c>
      <c r="G12" s="9">
        <f>SUM(G7:G11)</f>
        <v>673.2</v>
      </c>
      <c r="H12" s="5">
        <f>SUM(H7:H11)</f>
        <v>0.31000000000000005</v>
      </c>
      <c r="I12" s="5">
        <f t="shared" si="1"/>
        <v>11.24</v>
      </c>
      <c r="J12" s="5">
        <f t="shared" si="1"/>
        <v>198.2</v>
      </c>
      <c r="K12" s="5">
        <f t="shared" si="1"/>
        <v>0.24000000000000002</v>
      </c>
      <c r="L12" s="5">
        <f t="shared" si="1"/>
        <v>2.3000000000000003</v>
      </c>
      <c r="M12" s="5">
        <f t="shared" si="1"/>
        <v>312.3</v>
      </c>
      <c r="N12" s="5">
        <f t="shared" si="1"/>
        <v>58.230000000000004</v>
      </c>
      <c r="O12" s="5">
        <f t="shared" si="1"/>
        <v>264.89999999999998</v>
      </c>
      <c r="P12" s="73">
        <f t="shared" si="1"/>
        <v>2.4489999999999998</v>
      </c>
      <c r="Q12" s="62">
        <f t="shared" si="1"/>
        <v>366.59999999999997</v>
      </c>
      <c r="R12" s="62">
        <f t="shared" si="1"/>
        <v>2.5000000000000001E-2</v>
      </c>
      <c r="S12" s="62">
        <f t="shared" si="1"/>
        <v>7.4999999999999997E-3</v>
      </c>
      <c r="T12" s="62">
        <f t="shared" si="1"/>
        <v>1.73</v>
      </c>
    </row>
    <row r="13" spans="1:20" ht="24" customHeight="1" x14ac:dyDescent="0.25">
      <c r="A13" s="229" t="s">
        <v>19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21"/>
      <c r="R13" s="221"/>
      <c r="S13" s="221"/>
      <c r="T13" s="222"/>
    </row>
    <row r="14" spans="1:20" ht="25.5" x14ac:dyDescent="0.25">
      <c r="A14" s="105" t="s">
        <v>102</v>
      </c>
      <c r="B14" s="30" t="s">
        <v>63</v>
      </c>
      <c r="C14" s="114">
        <v>60</v>
      </c>
      <c r="D14" s="109">
        <v>0.74</v>
      </c>
      <c r="E14" s="109">
        <v>0.09</v>
      </c>
      <c r="F14" s="109">
        <v>2</v>
      </c>
      <c r="G14" s="109">
        <f>(9*E14)+4*(F14+D14)</f>
        <v>11.770000000000001</v>
      </c>
      <c r="H14" s="109">
        <v>0.01</v>
      </c>
      <c r="I14" s="109">
        <v>10</v>
      </c>
      <c r="J14" s="109">
        <v>0</v>
      </c>
      <c r="K14" s="109">
        <v>1.2E-2</v>
      </c>
      <c r="L14" s="109">
        <v>0</v>
      </c>
      <c r="M14" s="109">
        <v>11.1</v>
      </c>
      <c r="N14" s="109">
        <v>10.199999999999999</v>
      </c>
      <c r="O14" s="109">
        <v>20.399999999999999</v>
      </c>
      <c r="P14" s="110">
        <v>0.84</v>
      </c>
      <c r="Q14" s="102">
        <v>85.6</v>
      </c>
      <c r="R14" s="102">
        <v>0.01</v>
      </c>
      <c r="S14" s="102">
        <v>0</v>
      </c>
      <c r="T14" s="102">
        <v>0</v>
      </c>
    </row>
    <row r="15" spans="1:20" ht="31.5" x14ac:dyDescent="0.25">
      <c r="A15" s="106" t="s">
        <v>103</v>
      </c>
      <c r="B15" s="107" t="s">
        <v>35</v>
      </c>
      <c r="C15" s="109" t="s">
        <v>31</v>
      </c>
      <c r="D15" s="99">
        <v>7.5</v>
      </c>
      <c r="E15" s="99">
        <v>10.34</v>
      </c>
      <c r="F15" s="99">
        <v>9.82</v>
      </c>
      <c r="G15" s="109">
        <f>(9*E15)+4*(F15+D15)</f>
        <v>162.34</v>
      </c>
      <c r="H15" s="99">
        <v>0.05</v>
      </c>
      <c r="I15" s="99">
        <v>21.5</v>
      </c>
      <c r="J15" s="99">
        <v>0</v>
      </c>
      <c r="K15" s="99">
        <v>0.05</v>
      </c>
      <c r="L15" s="99">
        <v>1.4</v>
      </c>
      <c r="M15" s="99">
        <v>77</v>
      </c>
      <c r="N15" s="99">
        <v>32.4</v>
      </c>
      <c r="O15" s="99">
        <v>82</v>
      </c>
      <c r="P15" s="96">
        <v>0.13600000000000001</v>
      </c>
      <c r="Q15" s="102">
        <v>90</v>
      </c>
      <c r="R15" s="102">
        <v>2E-3</v>
      </c>
      <c r="S15" s="102">
        <v>5.0000000000000001E-3</v>
      </c>
      <c r="T15" s="102">
        <v>0.05</v>
      </c>
    </row>
    <row r="16" spans="1:20" ht="24.75" customHeight="1" x14ac:dyDescent="0.25">
      <c r="A16" s="47" t="s">
        <v>104</v>
      </c>
      <c r="B16" s="107" t="s">
        <v>60</v>
      </c>
      <c r="C16" s="109">
        <v>90</v>
      </c>
      <c r="D16" s="99">
        <v>7.38</v>
      </c>
      <c r="E16" s="99">
        <v>11.4</v>
      </c>
      <c r="F16" s="99">
        <v>14.36</v>
      </c>
      <c r="G16" s="99">
        <f>F16*4+E16*9+D16*4</f>
        <v>189.56000000000003</v>
      </c>
      <c r="H16" s="109">
        <v>0.09</v>
      </c>
      <c r="I16" s="109">
        <v>1.4</v>
      </c>
      <c r="J16" s="109">
        <v>125</v>
      </c>
      <c r="K16" s="109">
        <v>0.09</v>
      </c>
      <c r="L16" s="109">
        <v>2.1</v>
      </c>
      <c r="M16" s="109">
        <v>74.900000000000006</v>
      </c>
      <c r="N16" s="109">
        <v>19</v>
      </c>
      <c r="O16" s="7">
        <v>143.4</v>
      </c>
      <c r="P16" s="110">
        <v>0.79</v>
      </c>
      <c r="Q16" s="102">
        <v>69.7</v>
      </c>
      <c r="R16" s="102">
        <v>8.0000000000000002E-3</v>
      </c>
      <c r="S16" s="102">
        <v>4.0000000000000001E-3</v>
      </c>
      <c r="T16" s="102">
        <v>0.64</v>
      </c>
    </row>
    <row r="17" spans="1:20" ht="22.5" customHeight="1" x14ac:dyDescent="0.25">
      <c r="A17" s="52" t="s">
        <v>26</v>
      </c>
      <c r="B17" s="17" t="s">
        <v>138</v>
      </c>
      <c r="C17" s="12">
        <v>150</v>
      </c>
      <c r="D17" s="109">
        <v>6.58</v>
      </c>
      <c r="E17" s="109">
        <v>5.27</v>
      </c>
      <c r="F17" s="109">
        <v>39.08</v>
      </c>
      <c r="G17" s="2">
        <f t="shared" ref="G17" si="2">SUM(E17*9.3)+(D17+F17)*4.1</f>
        <v>236.21699999999996</v>
      </c>
      <c r="H17" s="102">
        <v>0.14000000000000001</v>
      </c>
      <c r="I17" s="102">
        <v>0</v>
      </c>
      <c r="J17" s="102">
        <v>25.5</v>
      </c>
      <c r="K17" s="102">
        <v>0.38500000000000001</v>
      </c>
      <c r="L17" s="102">
        <v>0</v>
      </c>
      <c r="M17" s="102">
        <v>37</v>
      </c>
      <c r="N17" s="102">
        <v>12.8</v>
      </c>
      <c r="O17" s="102">
        <v>12.8</v>
      </c>
      <c r="P17" s="88">
        <v>1</v>
      </c>
      <c r="Q17" s="152">
        <v>0</v>
      </c>
      <c r="R17" s="152">
        <v>0</v>
      </c>
      <c r="S17" s="152">
        <v>1.8E-3</v>
      </c>
      <c r="T17" s="152">
        <v>0</v>
      </c>
    </row>
    <row r="18" spans="1:20" ht="24.75" customHeight="1" x14ac:dyDescent="0.25">
      <c r="A18" s="105" t="s">
        <v>107</v>
      </c>
      <c r="B18" s="107" t="s">
        <v>29</v>
      </c>
      <c r="C18" s="109">
        <v>25</v>
      </c>
      <c r="D18" s="109">
        <f>0.36/2</f>
        <v>0.18</v>
      </c>
      <c r="E18" s="109">
        <f>0.76/2</f>
        <v>0.38</v>
      </c>
      <c r="F18" s="109">
        <f>4.27/2</f>
        <v>2.1349999999999998</v>
      </c>
      <c r="G18" s="99">
        <f>F18*4+E18*9+D18*4</f>
        <v>12.68</v>
      </c>
      <c r="H18" s="109">
        <f>0.013/2</f>
        <v>6.4999999999999997E-3</v>
      </c>
      <c r="I18" s="109">
        <v>0</v>
      </c>
      <c r="J18" s="109">
        <v>0</v>
      </c>
      <c r="K18" s="109">
        <v>0.05</v>
      </c>
      <c r="L18" s="109">
        <v>0.5</v>
      </c>
      <c r="M18" s="109">
        <v>12.3</v>
      </c>
      <c r="N18" s="109">
        <f>3.5/2</f>
        <v>1.75</v>
      </c>
      <c r="O18" s="8">
        <f>9.25/2</f>
        <v>4.625</v>
      </c>
      <c r="P18" s="110">
        <f>0.27/2</f>
        <v>0.13500000000000001</v>
      </c>
      <c r="Q18" s="102">
        <v>12</v>
      </c>
      <c r="R18" s="102">
        <v>1E-3</v>
      </c>
      <c r="S18" s="102">
        <v>0</v>
      </c>
      <c r="T18" s="102">
        <v>0.3</v>
      </c>
    </row>
    <row r="19" spans="1:20" ht="31.15" customHeight="1" x14ac:dyDescent="0.25">
      <c r="A19" s="48"/>
      <c r="B19" s="107" t="s">
        <v>66</v>
      </c>
      <c r="C19" s="157">
        <v>200</v>
      </c>
      <c r="D19" s="157">
        <v>0</v>
      </c>
      <c r="E19" s="157">
        <v>0</v>
      </c>
      <c r="F19" s="157">
        <v>22</v>
      </c>
      <c r="G19" s="157">
        <f>F19*4+E19*9+D19*4</f>
        <v>88</v>
      </c>
      <c r="H19" s="35">
        <v>7.0000000000000007E-2</v>
      </c>
      <c r="I19" s="35">
        <v>0.01</v>
      </c>
      <c r="J19" s="35">
        <v>100</v>
      </c>
      <c r="K19" s="35">
        <v>0.09</v>
      </c>
      <c r="L19" s="35">
        <v>0</v>
      </c>
      <c r="M19" s="35">
        <v>21.48</v>
      </c>
      <c r="N19" s="35">
        <v>8.4600000000000009</v>
      </c>
      <c r="O19" s="35">
        <v>49.79</v>
      </c>
      <c r="P19" s="71">
        <v>0.66</v>
      </c>
      <c r="Q19" s="152">
        <v>24</v>
      </c>
      <c r="R19" s="152">
        <v>0</v>
      </c>
      <c r="S19" s="152">
        <v>0</v>
      </c>
      <c r="T19" s="152">
        <v>4.0000000000000001E-3</v>
      </c>
    </row>
    <row r="20" spans="1:20" ht="25.5" x14ac:dyDescent="0.25">
      <c r="A20" s="105" t="s">
        <v>92</v>
      </c>
      <c r="B20" s="19" t="s">
        <v>25</v>
      </c>
      <c r="C20" s="21">
        <v>25</v>
      </c>
      <c r="D20" s="21">
        <f>1.5*1.52</f>
        <v>2.2800000000000002</v>
      </c>
      <c r="E20" s="21">
        <f>1.5*0.16</f>
        <v>0.24</v>
      </c>
      <c r="F20" s="43">
        <f>1.5*10.03</f>
        <v>15.044999999999998</v>
      </c>
      <c r="G20" s="11">
        <f>(9*E20)+4*(F20+D20)</f>
        <v>71.459999999999994</v>
      </c>
      <c r="H20" s="21">
        <v>0.12</v>
      </c>
      <c r="I20" s="21">
        <v>0.06</v>
      </c>
      <c r="J20" s="21">
        <v>0</v>
      </c>
      <c r="K20" s="21">
        <v>0</v>
      </c>
      <c r="L20" s="21">
        <v>0</v>
      </c>
      <c r="M20" s="21">
        <v>22.5</v>
      </c>
      <c r="N20" s="21">
        <v>9.6</v>
      </c>
      <c r="O20" s="21">
        <v>36.799999999999997</v>
      </c>
      <c r="P20" s="72">
        <v>1.08</v>
      </c>
      <c r="Q20" s="102">
        <v>27.3</v>
      </c>
      <c r="R20" s="102">
        <v>8.9999999999999993E-3</v>
      </c>
      <c r="S20" s="102">
        <v>0</v>
      </c>
      <c r="T20" s="102">
        <v>0</v>
      </c>
    </row>
    <row r="21" spans="1:20" ht="25.5" x14ac:dyDescent="0.25">
      <c r="A21" s="48" t="s">
        <v>94</v>
      </c>
      <c r="B21" s="3" t="s">
        <v>27</v>
      </c>
      <c r="C21" s="109">
        <v>25</v>
      </c>
      <c r="D21" s="109">
        <v>1.98</v>
      </c>
      <c r="E21" s="109">
        <v>0.36</v>
      </c>
      <c r="F21" s="109">
        <v>12.54</v>
      </c>
      <c r="G21" s="109">
        <f>(9*E21)+4*(F21+D21)</f>
        <v>61.32</v>
      </c>
      <c r="H21" s="109">
        <v>0.03</v>
      </c>
      <c r="I21" s="109">
        <v>0</v>
      </c>
      <c r="J21" s="109">
        <v>0</v>
      </c>
      <c r="K21" s="109">
        <v>0</v>
      </c>
      <c r="L21" s="109">
        <v>0</v>
      </c>
      <c r="M21" s="109">
        <v>21.5</v>
      </c>
      <c r="N21" s="109">
        <v>4.96</v>
      </c>
      <c r="O21" s="109">
        <v>40</v>
      </c>
      <c r="P21" s="110">
        <v>1.08</v>
      </c>
      <c r="Q21" s="102">
        <v>25.6</v>
      </c>
      <c r="R21" s="102">
        <v>8.9999999999999993E-3</v>
      </c>
      <c r="S21" s="102">
        <v>0</v>
      </c>
      <c r="T21" s="102">
        <v>0</v>
      </c>
    </row>
    <row r="22" spans="1:20" ht="15.75" x14ac:dyDescent="0.25">
      <c r="A22" s="225" t="s">
        <v>18</v>
      </c>
      <c r="B22" s="266"/>
      <c r="C22" s="101">
        <f>+C14+250+10+C16+C17+C18+C19+C20+C21</f>
        <v>835</v>
      </c>
      <c r="D22" s="4">
        <f>SUM(D14:D21)</f>
        <v>26.640000000000004</v>
      </c>
      <c r="E22" s="9">
        <f t="shared" ref="E22:G22" si="3">SUM(E14:E21)</f>
        <v>28.079999999999995</v>
      </c>
      <c r="F22" s="9">
        <f t="shared" si="3"/>
        <v>116.97999999999999</v>
      </c>
      <c r="G22" s="9">
        <f t="shared" si="3"/>
        <v>833.34700000000009</v>
      </c>
      <c r="H22" s="69">
        <f>SUM(H14:H21)</f>
        <v>0.51650000000000007</v>
      </c>
      <c r="I22" s="69">
        <f t="shared" ref="I22:P22" si="4">SUM(I14:I21)</f>
        <v>32.97</v>
      </c>
      <c r="J22" s="101">
        <f t="shared" si="4"/>
        <v>250.5</v>
      </c>
      <c r="K22" s="69">
        <f t="shared" si="4"/>
        <v>0.67700000000000005</v>
      </c>
      <c r="L22" s="101">
        <f>SUM(L14:L21)</f>
        <v>4</v>
      </c>
      <c r="M22" s="69">
        <f t="shared" si="4"/>
        <v>277.77999999999997</v>
      </c>
      <c r="N22" s="101">
        <f t="shared" si="4"/>
        <v>99.169999999999973</v>
      </c>
      <c r="O22" s="69">
        <f t="shared" si="4"/>
        <v>389.81500000000005</v>
      </c>
      <c r="P22" s="100">
        <f t="shared" si="4"/>
        <v>5.7210000000000001</v>
      </c>
      <c r="Q22" s="62">
        <f>SUM(Q14:Q21)</f>
        <v>334.20000000000005</v>
      </c>
      <c r="R22" s="62">
        <f>SUM(R14:R21)</f>
        <v>3.9E-2</v>
      </c>
      <c r="S22" s="62">
        <f>SUM(S14:S21)</f>
        <v>1.0800000000000001E-2</v>
      </c>
      <c r="T22" s="87">
        <f>SUM(T14:T21)</f>
        <v>0.99399999999999999</v>
      </c>
    </row>
    <row r="23" spans="1:20" ht="24" customHeight="1" x14ac:dyDescent="0.25">
      <c r="A23" s="229" t="s">
        <v>40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21"/>
      <c r="R23" s="221"/>
      <c r="S23" s="221"/>
      <c r="T23" s="222"/>
    </row>
    <row r="24" spans="1:20" ht="22.5" customHeight="1" x14ac:dyDescent="0.25">
      <c r="A24" s="50" t="s">
        <v>168</v>
      </c>
      <c r="B24" s="107" t="s">
        <v>239</v>
      </c>
      <c r="C24" s="109">
        <v>150</v>
      </c>
      <c r="D24" s="2">
        <v>10.337</v>
      </c>
      <c r="E24" s="2">
        <v>8.6999999999999993</v>
      </c>
      <c r="F24" s="2">
        <v>26.3</v>
      </c>
      <c r="G24" s="2">
        <f>F24*4+E24*9+D24*4</f>
        <v>224.84800000000001</v>
      </c>
      <c r="H24" s="109">
        <v>0.08</v>
      </c>
      <c r="I24" s="109">
        <v>4.3</v>
      </c>
      <c r="J24" s="109">
        <v>100</v>
      </c>
      <c r="K24" s="109">
        <v>0.2</v>
      </c>
      <c r="L24" s="109">
        <v>1.6</v>
      </c>
      <c r="M24" s="109">
        <v>257.39999999999998</v>
      </c>
      <c r="N24" s="109">
        <v>28</v>
      </c>
      <c r="O24" s="109">
        <v>183</v>
      </c>
      <c r="P24" s="110">
        <v>0.5</v>
      </c>
      <c r="Q24" s="102">
        <v>127</v>
      </c>
      <c r="R24" s="102">
        <v>8.0000000000000002E-3</v>
      </c>
      <c r="S24" s="102">
        <v>2E-3</v>
      </c>
      <c r="T24" s="102">
        <v>0.3</v>
      </c>
    </row>
    <row r="25" spans="1:20" ht="25.5" x14ac:dyDescent="0.25">
      <c r="A25" s="48" t="s">
        <v>169</v>
      </c>
      <c r="B25" s="19" t="s">
        <v>170</v>
      </c>
      <c r="C25" s="21">
        <v>20</v>
      </c>
      <c r="D25" s="21">
        <v>2.11</v>
      </c>
      <c r="E25" s="21">
        <v>2.4</v>
      </c>
      <c r="F25" s="21">
        <v>16.66</v>
      </c>
      <c r="G25" s="11">
        <f t="shared" ref="G25:G26" si="5">(9*E25)+4*(F25+D25)</f>
        <v>96.679999999999993</v>
      </c>
      <c r="H25" s="109">
        <v>0.06</v>
      </c>
      <c r="I25" s="109">
        <v>0.01</v>
      </c>
      <c r="J25" s="109">
        <v>5</v>
      </c>
      <c r="K25" s="109">
        <v>0</v>
      </c>
      <c r="L25" s="109">
        <v>0</v>
      </c>
      <c r="M25" s="109">
        <v>8.1999999999999993</v>
      </c>
      <c r="N25" s="109">
        <v>7.5</v>
      </c>
      <c r="O25" s="109">
        <v>21.9</v>
      </c>
      <c r="P25" s="110">
        <v>3.6999999999999998E-2</v>
      </c>
      <c r="Q25" s="102">
        <v>16.3</v>
      </c>
      <c r="R25" s="102">
        <v>7.0000000000000001E-3</v>
      </c>
      <c r="S25" s="102">
        <v>1E-3</v>
      </c>
      <c r="T25" s="102">
        <v>0</v>
      </c>
    </row>
    <row r="26" spans="1:20" ht="15.75" x14ac:dyDescent="0.25">
      <c r="A26" s="154" t="s">
        <v>75</v>
      </c>
      <c r="B26" s="155" t="s">
        <v>160</v>
      </c>
      <c r="C26" s="157" t="s">
        <v>56</v>
      </c>
      <c r="D26" s="157">
        <v>0</v>
      </c>
      <c r="E26" s="157">
        <v>0</v>
      </c>
      <c r="F26" s="157">
        <v>9.9</v>
      </c>
      <c r="G26" s="157">
        <f t="shared" si="5"/>
        <v>39.6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12</v>
      </c>
      <c r="N26" s="157">
        <v>6</v>
      </c>
      <c r="O26" s="157">
        <v>8.24</v>
      </c>
      <c r="P26" s="158">
        <v>0.86</v>
      </c>
      <c r="Q26" s="152">
        <v>24</v>
      </c>
      <c r="R26" s="152">
        <v>0</v>
      </c>
      <c r="S26" s="152">
        <v>0</v>
      </c>
      <c r="T26" s="152">
        <v>0.2</v>
      </c>
    </row>
    <row r="27" spans="1:20" ht="15.75" x14ac:dyDescent="0.25">
      <c r="A27" s="225" t="s">
        <v>18</v>
      </c>
      <c r="B27" s="240"/>
      <c r="C27" s="151">
        <v>380</v>
      </c>
      <c r="D27" s="9">
        <f>SUM(D24:D26)</f>
        <v>12.446999999999999</v>
      </c>
      <c r="E27" s="9">
        <f>SUM(E24:E26)</f>
        <v>11.1</v>
      </c>
      <c r="F27" s="9">
        <f>SUM(F24:F26)</f>
        <v>52.86</v>
      </c>
      <c r="G27" s="9">
        <f>SUM(G24:G26)</f>
        <v>361.12800000000004</v>
      </c>
      <c r="H27" s="10">
        <f t="shared" ref="H27:P27" si="6">SUM(H24:H26)</f>
        <v>0.14000000000000001</v>
      </c>
      <c r="I27" s="10">
        <f t="shared" si="6"/>
        <v>4.3099999999999996</v>
      </c>
      <c r="J27" s="10">
        <f t="shared" si="6"/>
        <v>105</v>
      </c>
      <c r="K27" s="10">
        <f t="shared" si="6"/>
        <v>0.2</v>
      </c>
      <c r="L27" s="10">
        <f>SUM(L24:L26)</f>
        <v>1.6</v>
      </c>
      <c r="M27" s="10">
        <f t="shared" si="6"/>
        <v>277.59999999999997</v>
      </c>
      <c r="N27" s="10">
        <f t="shared" si="6"/>
        <v>41.5</v>
      </c>
      <c r="O27" s="10">
        <f t="shared" si="6"/>
        <v>213.14000000000001</v>
      </c>
      <c r="P27" s="74">
        <f t="shared" si="6"/>
        <v>1.397</v>
      </c>
      <c r="Q27" s="62">
        <f>SUM(Q24:Q26)</f>
        <v>167.3</v>
      </c>
      <c r="R27" s="62">
        <f>SUM(R24:R26)</f>
        <v>1.4999999999999999E-2</v>
      </c>
      <c r="S27" s="62">
        <f>SUM(S24:S26)</f>
        <v>3.0000000000000001E-3</v>
      </c>
      <c r="T27" s="62">
        <f>SUM(T24:T26)</f>
        <v>0.5</v>
      </c>
    </row>
    <row r="28" spans="1:20" ht="15.75" x14ac:dyDescent="0.25">
      <c r="A28" s="225" t="s">
        <v>51</v>
      </c>
      <c r="B28" s="226"/>
      <c r="C28" s="101">
        <f>+C12+C22+C27</f>
        <v>1750</v>
      </c>
      <c r="D28" s="9">
        <f>D12+D22+D27</f>
        <v>61.987000000000009</v>
      </c>
      <c r="E28" s="9">
        <f>E12+E22+E27</f>
        <v>61.98</v>
      </c>
      <c r="F28" s="9">
        <f>F12+F22+F27</f>
        <v>263.94</v>
      </c>
      <c r="G28" s="9">
        <f>G12+G22+G27</f>
        <v>1867.6750000000002</v>
      </c>
      <c r="H28" s="10">
        <f t="shared" ref="H28:P28" si="7">H12+H22+H27</f>
        <v>0.96650000000000014</v>
      </c>
      <c r="I28" s="5">
        <f t="shared" si="7"/>
        <v>48.52</v>
      </c>
      <c r="J28" s="5">
        <f t="shared" si="7"/>
        <v>553.70000000000005</v>
      </c>
      <c r="K28" s="5">
        <f t="shared" si="7"/>
        <v>1.117</v>
      </c>
      <c r="L28" s="5">
        <f t="shared" si="7"/>
        <v>7.9</v>
      </c>
      <c r="M28" s="5">
        <f t="shared" si="7"/>
        <v>867.67999999999984</v>
      </c>
      <c r="N28" s="5">
        <f t="shared" si="7"/>
        <v>198.89999999999998</v>
      </c>
      <c r="O28" s="10">
        <f t="shared" si="7"/>
        <v>867.85500000000002</v>
      </c>
      <c r="P28" s="74">
        <f t="shared" si="7"/>
        <v>9.5670000000000002</v>
      </c>
      <c r="Q28" s="62">
        <f>SUM(Q12+Q22+Q27)</f>
        <v>868.09999999999991</v>
      </c>
      <c r="R28" s="62">
        <f>SUM(R12+R22+R27)</f>
        <v>7.9000000000000001E-2</v>
      </c>
      <c r="S28" s="217">
        <f>SUM(S12+S22+S27)</f>
        <v>2.1299999999999999E-2</v>
      </c>
      <c r="T28" s="87">
        <f>SUM(T12+T22+T27)</f>
        <v>3.2240000000000002</v>
      </c>
    </row>
    <row r="29" spans="1:20" ht="24" customHeight="1" x14ac:dyDescent="0.25">
      <c r="A29" s="234" t="s">
        <v>44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21"/>
      <c r="R29" s="221"/>
      <c r="S29" s="221"/>
      <c r="T29" s="222"/>
    </row>
    <row r="30" spans="1:20" ht="24" customHeight="1" x14ac:dyDescent="0.25">
      <c r="A30" s="229" t="s">
        <v>17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21"/>
      <c r="R30" s="221"/>
      <c r="S30" s="221"/>
      <c r="T30" s="222"/>
    </row>
    <row r="31" spans="1:20" ht="26.25" customHeight="1" x14ac:dyDescent="0.25">
      <c r="A31" s="106" t="s">
        <v>109</v>
      </c>
      <c r="B31" s="107" t="s">
        <v>65</v>
      </c>
      <c r="C31" s="109">
        <v>150</v>
      </c>
      <c r="D31" s="109">
        <v>10.55</v>
      </c>
      <c r="E31" s="109">
        <v>8.5</v>
      </c>
      <c r="F31" s="109">
        <v>4.67</v>
      </c>
      <c r="G31" s="109">
        <f>F31*4+E31*9+D31*4</f>
        <v>137.38</v>
      </c>
      <c r="H31" s="109">
        <v>0.1</v>
      </c>
      <c r="I31" s="109">
        <v>0.06</v>
      </c>
      <c r="J31" s="109">
        <v>191.6</v>
      </c>
      <c r="K31" s="109">
        <v>0.41</v>
      </c>
      <c r="L31" s="109">
        <v>1.3</v>
      </c>
      <c r="M31" s="109">
        <v>129.78</v>
      </c>
      <c r="N31" s="109">
        <v>31.4</v>
      </c>
      <c r="O31" s="109">
        <v>128.30000000000001</v>
      </c>
      <c r="P31" s="110">
        <v>0.42</v>
      </c>
      <c r="Q31" s="102">
        <v>84.1</v>
      </c>
      <c r="R31" s="102">
        <v>3.2000000000000002E-3</v>
      </c>
      <c r="S31" s="102">
        <v>4.8999999999999998E-3</v>
      </c>
      <c r="T31" s="102">
        <v>0.1</v>
      </c>
    </row>
    <row r="32" spans="1:20" ht="25.5" x14ac:dyDescent="0.25">
      <c r="A32" s="105" t="s">
        <v>114</v>
      </c>
      <c r="B32" s="107" t="s">
        <v>136</v>
      </c>
      <c r="C32" s="109">
        <v>45</v>
      </c>
      <c r="D32" s="109">
        <f>10.3/2</f>
        <v>5.15</v>
      </c>
      <c r="E32" s="109">
        <f>17.84/2</f>
        <v>8.92</v>
      </c>
      <c r="F32" s="109">
        <v>16.274999999999999</v>
      </c>
      <c r="G32" s="42">
        <f t="shared" ref="G32:G33" si="8">(9*E32)+4*(F32+D32)</f>
        <v>165.98</v>
      </c>
      <c r="H32" s="109">
        <v>1.0999999999999999E-2</v>
      </c>
      <c r="I32" s="109">
        <f>0.06/2</f>
        <v>0.03</v>
      </c>
      <c r="J32" s="109">
        <f>12.3/2</f>
        <v>6.15</v>
      </c>
      <c r="K32" s="109">
        <v>0.05</v>
      </c>
      <c r="L32" s="109">
        <v>0.6</v>
      </c>
      <c r="M32" s="109">
        <f>141.24/2</f>
        <v>70.62</v>
      </c>
      <c r="N32" s="109">
        <v>24.38</v>
      </c>
      <c r="O32" s="109">
        <v>83.6</v>
      </c>
      <c r="P32" s="110">
        <v>0.33</v>
      </c>
      <c r="Q32" s="102">
        <v>55.6</v>
      </c>
      <c r="R32" s="102">
        <f>3/1000</f>
        <v>3.0000000000000001E-3</v>
      </c>
      <c r="S32" s="102">
        <v>0</v>
      </c>
      <c r="T32" s="102">
        <v>3.1099999999999999E-2</v>
      </c>
    </row>
    <row r="33" spans="1:20" ht="20.25" customHeight="1" x14ac:dyDescent="0.25">
      <c r="A33" s="106" t="s">
        <v>156</v>
      </c>
      <c r="B33" s="30" t="s">
        <v>141</v>
      </c>
      <c r="C33" s="102">
        <v>60</v>
      </c>
      <c r="D33" s="102">
        <v>0.8</v>
      </c>
      <c r="E33" s="102">
        <v>1.8</v>
      </c>
      <c r="F33" s="102">
        <v>14.8</v>
      </c>
      <c r="G33" s="42">
        <f t="shared" si="8"/>
        <v>78.600000000000009</v>
      </c>
      <c r="H33" s="109">
        <v>0</v>
      </c>
      <c r="I33" s="109">
        <v>7.6</v>
      </c>
      <c r="J33" s="109">
        <v>0</v>
      </c>
      <c r="K33" s="109">
        <v>0</v>
      </c>
      <c r="L33" s="109">
        <v>0</v>
      </c>
      <c r="M33" s="109">
        <v>10.5</v>
      </c>
      <c r="N33" s="109">
        <v>8.8000000000000007</v>
      </c>
      <c r="O33" s="109">
        <v>16.48</v>
      </c>
      <c r="P33" s="110">
        <v>0.17199999999999999</v>
      </c>
      <c r="Q33" s="102">
        <v>53</v>
      </c>
      <c r="R33" s="102">
        <v>2E-3</v>
      </c>
      <c r="S33" s="102">
        <v>0</v>
      </c>
      <c r="T33" s="102">
        <v>1.0999999999999999E-2</v>
      </c>
    </row>
    <row r="34" spans="1:20" ht="32.25" customHeight="1" x14ac:dyDescent="0.25">
      <c r="A34" s="106" t="s">
        <v>75</v>
      </c>
      <c r="B34" s="148" t="s">
        <v>160</v>
      </c>
      <c r="C34" s="109" t="s">
        <v>56</v>
      </c>
      <c r="D34" s="109">
        <v>0</v>
      </c>
      <c r="E34" s="109">
        <v>0</v>
      </c>
      <c r="F34" s="109">
        <v>9.9</v>
      </c>
      <c r="G34" s="109">
        <f t="shared" ref="G34" si="9">(9*E34)+4*(F34+D34)</f>
        <v>39.6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12</v>
      </c>
      <c r="N34" s="109">
        <v>6</v>
      </c>
      <c r="O34" s="109">
        <v>8.24</v>
      </c>
      <c r="P34" s="110">
        <v>0.86</v>
      </c>
      <c r="Q34" s="102">
        <v>24</v>
      </c>
      <c r="R34" s="102">
        <v>0</v>
      </c>
      <c r="S34" s="102">
        <v>0</v>
      </c>
      <c r="T34" s="102">
        <v>0.2</v>
      </c>
    </row>
    <row r="35" spans="1:20" ht="25.5" x14ac:dyDescent="0.25">
      <c r="A35" s="105" t="s">
        <v>92</v>
      </c>
      <c r="B35" s="19" t="s">
        <v>25</v>
      </c>
      <c r="C35" s="21">
        <v>50</v>
      </c>
      <c r="D35" s="21">
        <v>3.04</v>
      </c>
      <c r="E35" s="21">
        <v>0.32</v>
      </c>
      <c r="F35" s="21">
        <v>19.96</v>
      </c>
      <c r="G35" s="11">
        <f t="shared" ref="G35" si="10">(9*E35)+4*(F35+D35)</f>
        <v>94.88</v>
      </c>
      <c r="H35" s="21">
        <v>0.32</v>
      </c>
      <c r="I35" s="21">
        <v>0.16</v>
      </c>
      <c r="J35" s="21">
        <v>0</v>
      </c>
      <c r="K35" s="21">
        <v>0</v>
      </c>
      <c r="L35" s="21">
        <v>0</v>
      </c>
      <c r="M35" s="21">
        <v>30</v>
      </c>
      <c r="N35" s="21">
        <v>16.399999999999999</v>
      </c>
      <c r="O35" s="21">
        <v>52</v>
      </c>
      <c r="P35" s="72">
        <v>2.88</v>
      </c>
      <c r="Q35" s="102">
        <v>72.8</v>
      </c>
      <c r="R35" s="102">
        <v>2.4E-2</v>
      </c>
      <c r="S35" s="102">
        <v>4.0000000000000001E-3</v>
      </c>
      <c r="T35" s="102">
        <v>0</v>
      </c>
    </row>
    <row r="36" spans="1:20" ht="15.75" x14ac:dyDescent="0.25">
      <c r="A36" s="225" t="s">
        <v>18</v>
      </c>
      <c r="B36" s="240"/>
      <c r="C36" s="44">
        <v>515</v>
      </c>
      <c r="D36" s="4">
        <f t="shared" ref="D36:T36" si="11">SUM(D31:D35)</f>
        <v>19.54</v>
      </c>
      <c r="E36" s="4">
        <f t="shared" si="11"/>
        <v>19.540000000000003</v>
      </c>
      <c r="F36" s="9">
        <f t="shared" si="11"/>
        <v>65.605000000000004</v>
      </c>
      <c r="G36" s="9">
        <f t="shared" si="11"/>
        <v>516.44000000000005</v>
      </c>
      <c r="H36" s="5">
        <f t="shared" si="11"/>
        <v>0.43099999999999999</v>
      </c>
      <c r="I36" s="5">
        <f t="shared" si="11"/>
        <v>7.85</v>
      </c>
      <c r="J36" s="5">
        <f t="shared" si="11"/>
        <v>197.75</v>
      </c>
      <c r="K36" s="5">
        <f t="shared" si="11"/>
        <v>0.45999999999999996</v>
      </c>
      <c r="L36" s="5">
        <f t="shared" si="11"/>
        <v>1.9</v>
      </c>
      <c r="M36" s="5">
        <f t="shared" si="11"/>
        <v>252.9</v>
      </c>
      <c r="N36" s="5">
        <f t="shared" si="11"/>
        <v>86.97999999999999</v>
      </c>
      <c r="O36" s="5">
        <f t="shared" si="11"/>
        <v>288.62</v>
      </c>
      <c r="P36" s="73">
        <f t="shared" si="11"/>
        <v>4.6619999999999999</v>
      </c>
      <c r="Q36" s="73">
        <f t="shared" si="11"/>
        <v>289.5</v>
      </c>
      <c r="R36" s="74">
        <f t="shared" si="11"/>
        <v>3.2199999999999999E-2</v>
      </c>
      <c r="S36" s="74">
        <f t="shared" si="11"/>
        <v>8.8999999999999999E-3</v>
      </c>
      <c r="T36" s="10">
        <f t="shared" si="11"/>
        <v>0.34210000000000002</v>
      </c>
    </row>
    <row r="37" spans="1:20" ht="15.75" x14ac:dyDescent="0.25">
      <c r="A37" s="229" t="s">
        <v>19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21"/>
      <c r="R37" s="221"/>
      <c r="S37" s="221"/>
      <c r="T37" s="222"/>
    </row>
    <row r="38" spans="1:20" ht="31.5" x14ac:dyDescent="0.25">
      <c r="A38" s="154" t="s">
        <v>116</v>
      </c>
      <c r="B38" s="16" t="s">
        <v>88</v>
      </c>
      <c r="C38" s="157" t="s">
        <v>89</v>
      </c>
      <c r="D38" s="150">
        <v>12.15</v>
      </c>
      <c r="E38" s="150">
        <v>16.98</v>
      </c>
      <c r="F38" s="150">
        <v>46.75</v>
      </c>
      <c r="G38" s="11">
        <f t="shared" ref="G38" si="12">(9*E38)+4*(F38+D38)</f>
        <v>388.41999999999996</v>
      </c>
      <c r="H38" s="150">
        <v>0.12</v>
      </c>
      <c r="I38" s="150">
        <v>17.100000000000001</v>
      </c>
      <c r="J38" s="150">
        <v>132.4</v>
      </c>
      <c r="K38" s="150">
        <v>0.05</v>
      </c>
      <c r="L38" s="150">
        <v>0.06</v>
      </c>
      <c r="M38" s="150">
        <v>122.77</v>
      </c>
      <c r="N38" s="150">
        <v>28.4</v>
      </c>
      <c r="O38" s="150">
        <v>86</v>
      </c>
      <c r="P38" s="149">
        <v>0.66300000000000003</v>
      </c>
      <c r="Q38" s="152">
        <v>101.3</v>
      </c>
      <c r="R38" s="152">
        <v>2E-3</v>
      </c>
      <c r="S38" s="152">
        <v>5.0000000000000001E-4</v>
      </c>
      <c r="T38" s="152">
        <v>0.6</v>
      </c>
    </row>
    <row r="39" spans="1:20" ht="25.5" x14ac:dyDescent="0.25">
      <c r="A39" s="50" t="s">
        <v>172</v>
      </c>
      <c r="B39" s="107" t="s">
        <v>171</v>
      </c>
      <c r="C39" s="109">
        <v>90</v>
      </c>
      <c r="D39" s="99">
        <v>12.45</v>
      </c>
      <c r="E39" s="99">
        <v>8.6</v>
      </c>
      <c r="F39" s="99">
        <v>11.7</v>
      </c>
      <c r="G39" s="109">
        <f t="shared" ref="G39:G43" si="13">(9*E39)+4*(F39+D39)</f>
        <v>174</v>
      </c>
      <c r="H39" s="99">
        <v>0.1</v>
      </c>
      <c r="I39" s="99">
        <v>2.2000000000000002</v>
      </c>
      <c r="J39" s="99">
        <v>67.599999999999994</v>
      </c>
      <c r="K39" s="99">
        <v>0.31</v>
      </c>
      <c r="L39" s="99">
        <v>4.45</v>
      </c>
      <c r="M39" s="99">
        <v>72.900000000000006</v>
      </c>
      <c r="N39" s="99">
        <v>17.399999999999999</v>
      </c>
      <c r="O39" s="99">
        <v>111.2</v>
      </c>
      <c r="P39" s="96">
        <v>0.82299999999999995</v>
      </c>
      <c r="Q39" s="102">
        <v>38.5</v>
      </c>
      <c r="R39" s="102">
        <v>6.0000000000000001E-3</v>
      </c>
      <c r="S39" s="102">
        <v>8.9999999999999993E-3</v>
      </c>
      <c r="T39" s="102">
        <v>0.49</v>
      </c>
    </row>
    <row r="40" spans="1:20" ht="20.25" customHeight="1" x14ac:dyDescent="0.25">
      <c r="A40" s="106" t="s">
        <v>110</v>
      </c>
      <c r="B40" s="16" t="s">
        <v>28</v>
      </c>
      <c r="C40" s="109">
        <v>150</v>
      </c>
      <c r="D40" s="99">
        <v>3.8</v>
      </c>
      <c r="E40" s="99">
        <v>4.8</v>
      </c>
      <c r="F40" s="99">
        <v>22.8</v>
      </c>
      <c r="G40" s="109">
        <f t="shared" si="13"/>
        <v>149.6</v>
      </c>
      <c r="H40" s="109">
        <v>0.02</v>
      </c>
      <c r="I40" s="109">
        <v>5.95</v>
      </c>
      <c r="J40" s="109">
        <v>25.4</v>
      </c>
      <c r="K40" s="109">
        <v>0.22</v>
      </c>
      <c r="L40" s="109">
        <v>0.32</v>
      </c>
      <c r="M40" s="109">
        <v>109.67</v>
      </c>
      <c r="N40" s="109">
        <v>22.82</v>
      </c>
      <c r="O40" s="8">
        <v>95.3</v>
      </c>
      <c r="P40" s="110">
        <v>0.81</v>
      </c>
      <c r="Q40" s="102">
        <v>200.6</v>
      </c>
      <c r="R40" s="102">
        <v>8.5500000000000003E-3</v>
      </c>
      <c r="S40" s="102">
        <v>4.4999999999999999E-4</v>
      </c>
      <c r="T40" s="102">
        <v>1.1000000000000001</v>
      </c>
    </row>
    <row r="41" spans="1:20" ht="30.75" customHeight="1" x14ac:dyDescent="0.25">
      <c r="A41" s="153" t="s">
        <v>173</v>
      </c>
      <c r="B41" s="138" t="s">
        <v>250</v>
      </c>
      <c r="C41" s="139">
        <v>60</v>
      </c>
      <c r="D41" s="175">
        <v>0</v>
      </c>
      <c r="E41" s="175">
        <v>0</v>
      </c>
      <c r="F41" s="175">
        <v>1</v>
      </c>
      <c r="G41" s="11">
        <f t="shared" si="13"/>
        <v>4</v>
      </c>
      <c r="H41" s="216">
        <v>0</v>
      </c>
      <c r="I41" s="216">
        <v>0</v>
      </c>
      <c r="J41" s="216">
        <v>35.6</v>
      </c>
      <c r="K41" s="216">
        <v>0</v>
      </c>
      <c r="L41" s="216">
        <v>0</v>
      </c>
      <c r="M41" s="216">
        <v>5</v>
      </c>
      <c r="N41" s="216">
        <v>0</v>
      </c>
      <c r="O41" s="216">
        <v>4</v>
      </c>
      <c r="P41" s="216">
        <v>0.24</v>
      </c>
      <c r="Q41" s="215">
        <v>50.5</v>
      </c>
      <c r="R41" s="215">
        <v>0</v>
      </c>
      <c r="S41" s="215">
        <v>0</v>
      </c>
      <c r="T41" s="215">
        <v>0</v>
      </c>
    </row>
    <row r="42" spans="1:20" ht="37.5" customHeight="1" x14ac:dyDescent="0.25">
      <c r="A42" s="48" t="s">
        <v>159</v>
      </c>
      <c r="B42" s="155" t="s">
        <v>158</v>
      </c>
      <c r="C42" s="157">
        <v>200</v>
      </c>
      <c r="D42" s="157">
        <v>0.2</v>
      </c>
      <c r="E42" s="157">
        <v>0.06</v>
      </c>
      <c r="F42" s="157">
        <v>15.64</v>
      </c>
      <c r="G42" s="150">
        <f>F42*4+E42*9+D42*4</f>
        <v>63.9</v>
      </c>
      <c r="H42" s="157">
        <v>2.8000000000000001E-2</v>
      </c>
      <c r="I42" s="157">
        <v>4</v>
      </c>
      <c r="J42" s="157">
        <v>0</v>
      </c>
      <c r="K42" s="157">
        <v>0</v>
      </c>
      <c r="L42" s="157">
        <v>0</v>
      </c>
      <c r="M42" s="157">
        <v>8.0500000000000007</v>
      </c>
      <c r="N42" s="157">
        <v>5.24</v>
      </c>
      <c r="O42" s="157">
        <v>9.7799999999999994</v>
      </c>
      <c r="P42" s="157">
        <v>0.19</v>
      </c>
      <c r="Q42" s="152">
        <v>21</v>
      </c>
      <c r="R42" s="152">
        <v>0</v>
      </c>
      <c r="S42" s="152">
        <v>0</v>
      </c>
      <c r="T42" s="152">
        <v>2E-3</v>
      </c>
    </row>
    <row r="43" spans="1:20" ht="25.5" x14ac:dyDescent="0.25">
      <c r="A43" s="105" t="s">
        <v>92</v>
      </c>
      <c r="B43" s="19" t="s">
        <v>25</v>
      </c>
      <c r="C43" s="21">
        <v>25</v>
      </c>
      <c r="D43" s="21">
        <v>1.52</v>
      </c>
      <c r="E43" s="21">
        <v>0.16</v>
      </c>
      <c r="F43" s="21">
        <v>9.98</v>
      </c>
      <c r="G43" s="11">
        <f t="shared" si="13"/>
        <v>47.44</v>
      </c>
      <c r="H43" s="21">
        <v>0.08</v>
      </c>
      <c r="I43" s="21">
        <v>0.04</v>
      </c>
      <c r="J43" s="21">
        <v>0</v>
      </c>
      <c r="K43" s="21">
        <v>0</v>
      </c>
      <c r="L43" s="21">
        <v>0</v>
      </c>
      <c r="M43" s="21">
        <v>15</v>
      </c>
      <c r="N43" s="21">
        <v>8.1999999999999993</v>
      </c>
      <c r="O43" s="21">
        <v>13</v>
      </c>
      <c r="P43" s="72">
        <v>0.72</v>
      </c>
      <c r="Q43" s="102">
        <v>18.2</v>
      </c>
      <c r="R43" s="102">
        <v>6.0000000000000001E-3</v>
      </c>
      <c r="S43" s="102">
        <v>1E-3</v>
      </c>
      <c r="T43" s="102">
        <v>0</v>
      </c>
    </row>
    <row r="44" spans="1:20" ht="25.5" x14ac:dyDescent="0.25">
      <c r="A44" s="48" t="s">
        <v>94</v>
      </c>
      <c r="B44" s="3" t="s">
        <v>27</v>
      </c>
      <c r="C44" s="136">
        <v>25</v>
      </c>
      <c r="D44" s="136">
        <v>1.32</v>
      </c>
      <c r="E44" s="136">
        <v>0.24</v>
      </c>
      <c r="F44" s="136">
        <v>8.36</v>
      </c>
      <c r="G44" s="136">
        <f>(9*E44)+4*(F44+D44)</f>
        <v>40.879999999999995</v>
      </c>
      <c r="H44" s="109">
        <v>0.03</v>
      </c>
      <c r="I44" s="109">
        <v>0</v>
      </c>
      <c r="J44" s="109">
        <v>0</v>
      </c>
      <c r="K44" s="109">
        <v>0</v>
      </c>
      <c r="L44" s="109">
        <v>0</v>
      </c>
      <c r="M44" s="109">
        <v>5.08</v>
      </c>
      <c r="N44" s="109">
        <v>4.96</v>
      </c>
      <c r="O44" s="109">
        <v>40</v>
      </c>
      <c r="P44" s="110">
        <v>0.4</v>
      </c>
      <c r="Q44" s="102">
        <v>16.2</v>
      </c>
      <c r="R44" s="102">
        <v>6.0000000000000001E-3</v>
      </c>
      <c r="S44" s="102">
        <v>1E-3</v>
      </c>
      <c r="T44" s="102">
        <v>0</v>
      </c>
    </row>
    <row r="45" spans="1:20" ht="15.75" x14ac:dyDescent="0.25">
      <c r="A45" s="225" t="s">
        <v>18</v>
      </c>
      <c r="B45" s="266"/>
      <c r="C45" s="144" t="s">
        <v>251</v>
      </c>
      <c r="D45" s="4">
        <f t="shared" ref="D45:T45" si="14">SUM(D38:D44)</f>
        <v>31.44</v>
      </c>
      <c r="E45" s="4">
        <f t="shared" si="14"/>
        <v>30.839999999999996</v>
      </c>
      <c r="F45" s="4">
        <f t="shared" si="14"/>
        <v>116.23</v>
      </c>
      <c r="G45" s="4">
        <f t="shared" si="14"/>
        <v>868.2399999999999</v>
      </c>
      <c r="H45" s="5">
        <f>SUM(H38:H44)</f>
        <v>0.378</v>
      </c>
      <c r="I45" s="5">
        <f t="shared" si="14"/>
        <v>29.29</v>
      </c>
      <c r="J45" s="5">
        <f t="shared" si="14"/>
        <v>261</v>
      </c>
      <c r="K45" s="5">
        <f t="shared" si="14"/>
        <v>0.57999999999999996</v>
      </c>
      <c r="L45" s="5">
        <f t="shared" si="14"/>
        <v>4.83</v>
      </c>
      <c r="M45" s="5">
        <f t="shared" si="14"/>
        <v>338.47</v>
      </c>
      <c r="N45" s="5">
        <f t="shared" si="14"/>
        <v>87.02</v>
      </c>
      <c r="O45" s="5">
        <f t="shared" si="14"/>
        <v>359.28</v>
      </c>
      <c r="P45" s="73">
        <f t="shared" si="14"/>
        <v>3.8460000000000005</v>
      </c>
      <c r="Q45" s="73">
        <f t="shared" si="14"/>
        <v>446.29999999999995</v>
      </c>
      <c r="R45" s="74">
        <f t="shared" si="14"/>
        <v>2.8549999999999999E-2</v>
      </c>
      <c r="S45" s="73">
        <f t="shared" si="14"/>
        <v>1.1950000000000002E-2</v>
      </c>
      <c r="T45" s="5">
        <f t="shared" si="14"/>
        <v>2.1919999999999997</v>
      </c>
    </row>
    <row r="46" spans="1:20" ht="24" customHeight="1" x14ac:dyDescent="0.25">
      <c r="A46" s="229" t="s">
        <v>40</v>
      </c>
      <c r="B46" s="239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21"/>
      <c r="R46" s="221"/>
      <c r="S46" s="221"/>
      <c r="T46" s="222"/>
    </row>
    <row r="47" spans="1:20" ht="33.75" customHeight="1" x14ac:dyDescent="0.25">
      <c r="A47" s="132" t="s">
        <v>174</v>
      </c>
      <c r="B47" s="107" t="s">
        <v>175</v>
      </c>
      <c r="C47" s="109">
        <v>200</v>
      </c>
      <c r="D47" s="109">
        <v>0.2</v>
      </c>
      <c r="E47" s="109">
        <v>0</v>
      </c>
      <c r="F47" s="109">
        <v>12.48</v>
      </c>
      <c r="G47" s="11">
        <f>(9*E47)+4*(F47+D47)</f>
        <v>50.72</v>
      </c>
      <c r="H47" s="109">
        <v>0.06</v>
      </c>
      <c r="I47" s="109">
        <v>0.02</v>
      </c>
      <c r="J47" s="109">
        <v>44</v>
      </c>
      <c r="K47" s="109">
        <v>0.04</v>
      </c>
      <c r="L47" s="109">
        <v>1.2</v>
      </c>
      <c r="M47" s="109">
        <v>248</v>
      </c>
      <c r="N47" s="109">
        <v>20</v>
      </c>
      <c r="O47" s="109">
        <v>164</v>
      </c>
      <c r="P47" s="110">
        <v>0.2</v>
      </c>
      <c r="Q47" s="102">
        <v>89</v>
      </c>
      <c r="R47" s="102">
        <v>0</v>
      </c>
      <c r="S47" s="102">
        <v>0</v>
      </c>
      <c r="T47" s="102">
        <v>0</v>
      </c>
    </row>
    <row r="48" spans="1:20" ht="25.5" x14ac:dyDescent="0.25">
      <c r="A48" s="48" t="s">
        <v>95</v>
      </c>
      <c r="B48" s="107" t="s">
        <v>82</v>
      </c>
      <c r="C48" s="109">
        <v>65</v>
      </c>
      <c r="D48" s="109">
        <v>7.2</v>
      </c>
      <c r="E48" s="109">
        <v>11.8</v>
      </c>
      <c r="F48" s="109">
        <v>57</v>
      </c>
      <c r="G48" s="109">
        <f t="shared" ref="G48:G49" si="15">(9*E48)+4*(F48+D48)</f>
        <v>363</v>
      </c>
      <c r="H48" s="109">
        <v>5.1999999999999998E-2</v>
      </c>
      <c r="I48" s="109">
        <v>0.4</v>
      </c>
      <c r="J48" s="109">
        <v>11.75</v>
      </c>
      <c r="K48" s="109">
        <v>0</v>
      </c>
      <c r="L48" s="109">
        <v>0</v>
      </c>
      <c r="M48" s="109">
        <v>25.8</v>
      </c>
      <c r="N48" s="109">
        <v>0.96</v>
      </c>
      <c r="O48" s="109">
        <v>36.799999999999997</v>
      </c>
      <c r="P48" s="110">
        <v>0.14000000000000001</v>
      </c>
      <c r="Q48" s="102">
        <v>52</v>
      </c>
      <c r="R48" s="102">
        <v>0</v>
      </c>
      <c r="S48" s="102">
        <v>1E-3</v>
      </c>
      <c r="T48" s="102">
        <v>0</v>
      </c>
    </row>
    <row r="49" spans="1:20" ht="24" customHeight="1" x14ac:dyDescent="0.25">
      <c r="A49" s="105" t="s">
        <v>176</v>
      </c>
      <c r="B49" s="107" t="s">
        <v>73</v>
      </c>
      <c r="C49" s="109">
        <v>100</v>
      </c>
      <c r="D49" s="109">
        <v>2.48</v>
      </c>
      <c r="E49" s="109">
        <v>0.48</v>
      </c>
      <c r="F49" s="109">
        <v>12.8</v>
      </c>
      <c r="G49" s="2">
        <f t="shared" si="15"/>
        <v>65.44</v>
      </c>
      <c r="H49" s="114">
        <v>0.03</v>
      </c>
      <c r="I49" s="114">
        <v>10</v>
      </c>
      <c r="J49" s="114">
        <v>40.299999999999997</v>
      </c>
      <c r="K49" s="114">
        <v>0.02</v>
      </c>
      <c r="L49" s="114">
        <v>0</v>
      </c>
      <c r="M49" s="114">
        <v>9.5</v>
      </c>
      <c r="N49" s="114">
        <v>2.7</v>
      </c>
      <c r="O49" s="114">
        <v>19.5</v>
      </c>
      <c r="P49" s="111">
        <v>1.2</v>
      </c>
      <c r="Q49" s="102">
        <v>0.4</v>
      </c>
      <c r="R49" s="102">
        <v>1.7000000000000001E-2</v>
      </c>
      <c r="S49" s="102">
        <v>0</v>
      </c>
      <c r="T49" s="102">
        <v>0.5</v>
      </c>
    </row>
    <row r="50" spans="1:20" ht="24" customHeight="1" x14ac:dyDescent="0.25">
      <c r="A50" s="244" t="s">
        <v>18</v>
      </c>
      <c r="B50" s="245"/>
      <c r="C50" s="101">
        <v>365</v>
      </c>
      <c r="D50" s="101">
        <f>SUM(D47:D49)</f>
        <v>9.8800000000000008</v>
      </c>
      <c r="E50" s="101">
        <f t="shared" ref="E50:T50" si="16">SUM(E47:E49)</f>
        <v>12.280000000000001</v>
      </c>
      <c r="F50" s="101">
        <f t="shared" si="16"/>
        <v>82.28</v>
      </c>
      <c r="G50" s="101">
        <f t="shared" si="16"/>
        <v>479.16</v>
      </c>
      <c r="H50" s="101">
        <f t="shared" si="16"/>
        <v>0.14199999999999999</v>
      </c>
      <c r="I50" s="101">
        <f t="shared" si="16"/>
        <v>10.42</v>
      </c>
      <c r="J50" s="101">
        <f t="shared" si="16"/>
        <v>96.05</v>
      </c>
      <c r="K50" s="101">
        <f t="shared" si="16"/>
        <v>0.06</v>
      </c>
      <c r="L50" s="101">
        <f>SUM(L47:L49)</f>
        <v>1.2</v>
      </c>
      <c r="M50" s="101">
        <f t="shared" si="16"/>
        <v>283.3</v>
      </c>
      <c r="N50" s="101">
        <f t="shared" si="16"/>
        <v>23.66</v>
      </c>
      <c r="O50" s="101">
        <f t="shared" si="16"/>
        <v>220.3</v>
      </c>
      <c r="P50" s="100">
        <f t="shared" si="16"/>
        <v>1.54</v>
      </c>
      <c r="Q50" s="100">
        <f t="shared" si="16"/>
        <v>141.4</v>
      </c>
      <c r="R50" s="100">
        <f t="shared" si="16"/>
        <v>1.7000000000000001E-2</v>
      </c>
      <c r="S50" s="100">
        <f t="shared" si="16"/>
        <v>1E-3</v>
      </c>
      <c r="T50" s="101">
        <f t="shared" si="16"/>
        <v>0.5</v>
      </c>
    </row>
    <row r="51" spans="1:20" ht="24" customHeight="1" x14ac:dyDescent="0.25">
      <c r="A51" s="225" t="s">
        <v>20</v>
      </c>
      <c r="B51" s="226"/>
      <c r="C51" s="143">
        <f>+C36+C45+C50</f>
        <v>1700</v>
      </c>
      <c r="D51" s="4">
        <f t="shared" ref="D51:K51" si="17">D50+D45+D36</f>
        <v>60.86</v>
      </c>
      <c r="E51" s="4">
        <f t="shared" si="17"/>
        <v>62.66</v>
      </c>
      <c r="F51" s="9">
        <f t="shared" si="17"/>
        <v>264.11500000000001</v>
      </c>
      <c r="G51" s="9">
        <f t="shared" si="17"/>
        <v>1863.84</v>
      </c>
      <c r="H51" s="5">
        <f t="shared" si="17"/>
        <v>0.95100000000000007</v>
      </c>
      <c r="I51" s="5">
        <f t="shared" si="17"/>
        <v>47.56</v>
      </c>
      <c r="J51" s="5">
        <f t="shared" si="17"/>
        <v>554.79999999999995</v>
      </c>
      <c r="K51" s="5">
        <f t="shared" si="17"/>
        <v>1.0999999999999999</v>
      </c>
      <c r="L51" s="10">
        <f>SUM(L36+L45+L50)</f>
        <v>7.9300000000000006</v>
      </c>
      <c r="M51" s="5">
        <f t="shared" ref="M51:T51" si="18">M50+M45+M36</f>
        <v>874.67</v>
      </c>
      <c r="N51" s="5">
        <f t="shared" si="18"/>
        <v>197.65999999999997</v>
      </c>
      <c r="O51" s="5">
        <f t="shared" si="18"/>
        <v>868.19999999999993</v>
      </c>
      <c r="P51" s="73">
        <f t="shared" si="18"/>
        <v>10.048000000000002</v>
      </c>
      <c r="Q51" s="73">
        <f t="shared" si="18"/>
        <v>877.19999999999993</v>
      </c>
      <c r="R51" s="74">
        <f t="shared" si="18"/>
        <v>7.775E-2</v>
      </c>
      <c r="S51" s="218">
        <f t="shared" si="18"/>
        <v>2.1850000000000001E-2</v>
      </c>
      <c r="T51" s="10">
        <f t="shared" si="18"/>
        <v>3.0340999999999996</v>
      </c>
    </row>
    <row r="52" spans="1:20" ht="24" customHeight="1" x14ac:dyDescent="0.25">
      <c r="A52" s="234" t="s">
        <v>45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21"/>
      <c r="R52" s="221"/>
      <c r="S52" s="221"/>
      <c r="T52" s="222"/>
    </row>
    <row r="53" spans="1:20" ht="24" customHeight="1" x14ac:dyDescent="0.25">
      <c r="A53" s="229" t="s">
        <v>17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21"/>
      <c r="R53" s="221"/>
      <c r="S53" s="221"/>
      <c r="T53" s="222"/>
    </row>
    <row r="54" spans="1:20" ht="49.5" customHeight="1" x14ac:dyDescent="0.25">
      <c r="A54" s="154" t="s">
        <v>101</v>
      </c>
      <c r="B54" s="155" t="s">
        <v>155</v>
      </c>
      <c r="C54" s="157" t="s">
        <v>56</v>
      </c>
      <c r="D54" s="157">
        <v>6.83</v>
      </c>
      <c r="E54" s="2">
        <v>9.0399999999999991</v>
      </c>
      <c r="F54" s="157">
        <v>29.65</v>
      </c>
      <c r="G54" s="2">
        <f>D54*4+E54*9+F54*4</f>
        <v>227.27999999999997</v>
      </c>
      <c r="H54" s="157">
        <v>0.15</v>
      </c>
      <c r="I54" s="157">
        <v>8</v>
      </c>
      <c r="J54" s="157">
        <v>125.8</v>
      </c>
      <c r="K54" s="157">
        <v>0.12</v>
      </c>
      <c r="L54" s="157">
        <v>0</v>
      </c>
      <c r="M54" s="157">
        <v>58.9</v>
      </c>
      <c r="N54" s="157">
        <v>38.700000000000003</v>
      </c>
      <c r="O54" s="157">
        <v>111.4</v>
      </c>
      <c r="P54" s="158">
        <v>1.08</v>
      </c>
      <c r="Q54" s="152">
        <v>112.3</v>
      </c>
      <c r="R54" s="152">
        <v>2E-3</v>
      </c>
      <c r="S54" s="152">
        <v>3.0000000000000001E-3</v>
      </c>
      <c r="T54" s="152">
        <v>0</v>
      </c>
    </row>
    <row r="55" spans="1:20" ht="24" customHeight="1" x14ac:dyDescent="0.25">
      <c r="A55" s="48" t="s">
        <v>98</v>
      </c>
      <c r="B55" s="155" t="s">
        <v>74</v>
      </c>
      <c r="C55" s="157">
        <v>75</v>
      </c>
      <c r="D55" s="157">
        <v>2.79</v>
      </c>
      <c r="E55" s="157">
        <v>4.22</v>
      </c>
      <c r="F55" s="157">
        <v>30</v>
      </c>
      <c r="G55" s="157">
        <f>(9*E55)+4*(F55+D55)</f>
        <v>169.14</v>
      </c>
      <c r="H55" s="157">
        <v>0.03</v>
      </c>
      <c r="I55" s="157">
        <v>0.03</v>
      </c>
      <c r="J55" s="157">
        <v>0.5</v>
      </c>
      <c r="K55" s="157">
        <v>0.3</v>
      </c>
      <c r="L55" s="157">
        <v>0.05</v>
      </c>
      <c r="M55" s="157">
        <v>16</v>
      </c>
      <c r="N55" s="157">
        <v>9</v>
      </c>
      <c r="O55" s="157">
        <v>11</v>
      </c>
      <c r="P55" s="158">
        <v>0.5</v>
      </c>
      <c r="Q55" s="152">
        <v>1.2</v>
      </c>
      <c r="R55" s="152">
        <v>0</v>
      </c>
      <c r="S55" s="152">
        <v>4.0000000000000001E-3</v>
      </c>
      <c r="T55" s="152">
        <v>0.45</v>
      </c>
    </row>
    <row r="56" spans="1:20" ht="33.75" customHeight="1" x14ac:dyDescent="0.25">
      <c r="A56" s="154" t="s">
        <v>177</v>
      </c>
      <c r="B56" s="155" t="s">
        <v>178</v>
      </c>
      <c r="C56" s="157">
        <v>200</v>
      </c>
      <c r="D56" s="157">
        <v>7.6</v>
      </c>
      <c r="E56" s="157">
        <v>7.4</v>
      </c>
      <c r="F56" s="157">
        <v>9.2799999999999994</v>
      </c>
      <c r="G56" s="157">
        <f>(9*E56)+4*(F56+D56)</f>
        <v>134.12</v>
      </c>
      <c r="H56" s="157">
        <v>0</v>
      </c>
      <c r="I56" s="157">
        <v>0</v>
      </c>
      <c r="J56" s="157">
        <v>0</v>
      </c>
      <c r="K56" s="157">
        <v>0</v>
      </c>
      <c r="L56" s="157">
        <v>0</v>
      </c>
      <c r="M56" s="157">
        <v>64</v>
      </c>
      <c r="N56" s="157">
        <v>6</v>
      </c>
      <c r="O56" s="157">
        <v>8.24</v>
      </c>
      <c r="P56" s="158">
        <v>0.53</v>
      </c>
      <c r="Q56" s="152">
        <v>114</v>
      </c>
      <c r="R56" s="152">
        <v>0</v>
      </c>
      <c r="S56" s="152">
        <v>0</v>
      </c>
      <c r="T56" s="152">
        <v>0.2</v>
      </c>
    </row>
    <row r="57" spans="1:20" ht="24" customHeight="1" x14ac:dyDescent="0.25">
      <c r="A57" s="153" t="s">
        <v>92</v>
      </c>
      <c r="B57" s="19" t="s">
        <v>25</v>
      </c>
      <c r="C57" s="21">
        <v>25</v>
      </c>
      <c r="D57" s="21">
        <f>1.5*1.52</f>
        <v>2.2800000000000002</v>
      </c>
      <c r="E57" s="21">
        <f>1.5*0.16</f>
        <v>0.24</v>
      </c>
      <c r="F57" s="43">
        <f>1.5*10.03</f>
        <v>15.044999999999998</v>
      </c>
      <c r="G57" s="11">
        <f>(9*E57)+4*(F57+D57)</f>
        <v>71.459999999999994</v>
      </c>
      <c r="H57" s="21">
        <v>0.12</v>
      </c>
      <c r="I57" s="21">
        <v>0.06</v>
      </c>
      <c r="J57" s="21">
        <v>0</v>
      </c>
      <c r="K57" s="21">
        <v>0</v>
      </c>
      <c r="L57" s="21">
        <v>0</v>
      </c>
      <c r="M57" s="21">
        <v>22.5</v>
      </c>
      <c r="N57" s="21">
        <v>9.6</v>
      </c>
      <c r="O57" s="21">
        <v>36.799999999999997</v>
      </c>
      <c r="P57" s="72">
        <v>1.08</v>
      </c>
      <c r="Q57" s="152">
        <v>27.3</v>
      </c>
      <c r="R57" s="152">
        <v>8.9999999999999993E-3</v>
      </c>
      <c r="S57" s="152">
        <v>0</v>
      </c>
      <c r="T57" s="152">
        <v>0</v>
      </c>
    </row>
    <row r="58" spans="1:20" ht="24" customHeight="1" x14ac:dyDescent="0.25">
      <c r="A58" s="225" t="s">
        <v>18</v>
      </c>
      <c r="B58" s="243"/>
      <c r="C58" s="62">
        <v>510</v>
      </c>
      <c r="D58" s="9">
        <f t="shared" ref="D58:T58" si="19">SUM(D54:D57)</f>
        <v>19.5</v>
      </c>
      <c r="E58" s="9">
        <f t="shared" si="19"/>
        <v>20.899999999999995</v>
      </c>
      <c r="F58" s="9">
        <f t="shared" si="19"/>
        <v>83.974999999999994</v>
      </c>
      <c r="G58" s="9">
        <f t="shared" si="19"/>
        <v>602</v>
      </c>
      <c r="H58" s="10">
        <f t="shared" si="19"/>
        <v>0.3</v>
      </c>
      <c r="I58" s="10">
        <f t="shared" si="19"/>
        <v>8.09</v>
      </c>
      <c r="J58" s="10">
        <f t="shared" si="19"/>
        <v>126.3</v>
      </c>
      <c r="K58" s="10">
        <f t="shared" si="19"/>
        <v>0.42</v>
      </c>
      <c r="L58" s="10">
        <f t="shared" si="19"/>
        <v>0.05</v>
      </c>
      <c r="M58" s="10">
        <f t="shared" si="19"/>
        <v>161.4</v>
      </c>
      <c r="N58" s="10">
        <f t="shared" si="19"/>
        <v>63.300000000000004</v>
      </c>
      <c r="O58" s="10">
        <f t="shared" si="19"/>
        <v>167.44</v>
      </c>
      <c r="P58" s="74">
        <f t="shared" si="19"/>
        <v>3.1900000000000004</v>
      </c>
      <c r="Q58" s="74">
        <f t="shared" si="19"/>
        <v>254.8</v>
      </c>
      <c r="R58" s="92">
        <f t="shared" si="19"/>
        <v>1.0999999999999999E-2</v>
      </c>
      <c r="S58" s="74">
        <f t="shared" si="19"/>
        <v>7.0000000000000001E-3</v>
      </c>
      <c r="T58" s="10">
        <f t="shared" si="19"/>
        <v>0.65</v>
      </c>
    </row>
    <row r="59" spans="1:20" ht="24" customHeight="1" x14ac:dyDescent="0.25">
      <c r="A59" s="229" t="s">
        <v>19</v>
      </c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21"/>
      <c r="R59" s="221"/>
      <c r="S59" s="221"/>
      <c r="T59" s="222"/>
    </row>
    <row r="60" spans="1:20" ht="33.6" customHeight="1" x14ac:dyDescent="0.25">
      <c r="A60" s="51" t="s">
        <v>129</v>
      </c>
      <c r="B60" s="16" t="s">
        <v>34</v>
      </c>
      <c r="C60" s="99" t="s">
        <v>31</v>
      </c>
      <c r="D60" s="99">
        <v>8.7200000000000006</v>
      </c>
      <c r="E60" s="99">
        <v>10.83</v>
      </c>
      <c r="F60" s="99">
        <v>11.57</v>
      </c>
      <c r="G60" s="99">
        <f>4*D60+9*E60+4*F60</f>
        <v>178.63</v>
      </c>
      <c r="H60" s="99">
        <v>0.05</v>
      </c>
      <c r="I60" s="99">
        <v>19.100000000000001</v>
      </c>
      <c r="J60" s="99">
        <v>75.3</v>
      </c>
      <c r="K60" s="99">
        <v>5.3999999999999999E-2</v>
      </c>
      <c r="L60" s="99">
        <v>1</v>
      </c>
      <c r="M60" s="99">
        <v>122.09</v>
      </c>
      <c r="N60" s="99">
        <v>28.9</v>
      </c>
      <c r="O60" s="99">
        <v>104.4</v>
      </c>
      <c r="P60" s="96">
        <v>1.02</v>
      </c>
      <c r="Q60" s="102">
        <v>57.2</v>
      </c>
      <c r="R60" s="102">
        <v>0.01</v>
      </c>
      <c r="S60" s="102">
        <v>5.0000000000000001E-4</v>
      </c>
      <c r="T60" s="102">
        <v>0.1</v>
      </c>
    </row>
    <row r="61" spans="1:20" ht="31.5" customHeight="1" x14ac:dyDescent="0.25">
      <c r="A61" s="153" t="s">
        <v>181</v>
      </c>
      <c r="B61" s="148" t="s">
        <v>182</v>
      </c>
      <c r="C61" s="109">
        <v>90</v>
      </c>
      <c r="D61" s="109">
        <v>9.0399999999999991</v>
      </c>
      <c r="E61" s="109">
        <v>9.51</v>
      </c>
      <c r="F61" s="109">
        <v>12.79</v>
      </c>
      <c r="G61" s="99">
        <f t="shared" ref="G61" si="20">4*D61+9*E61+4*F61</f>
        <v>172.91</v>
      </c>
      <c r="H61" s="109">
        <v>0.1</v>
      </c>
      <c r="I61" s="109">
        <v>6.75</v>
      </c>
      <c r="J61" s="109">
        <v>87.6</v>
      </c>
      <c r="K61" s="109">
        <v>0</v>
      </c>
      <c r="L61" s="109">
        <v>0.28000000000000003</v>
      </c>
      <c r="M61" s="109">
        <v>17.899999999999999</v>
      </c>
      <c r="N61" s="109">
        <v>3</v>
      </c>
      <c r="O61" s="109">
        <v>3.9</v>
      </c>
      <c r="P61" s="110">
        <v>0.15</v>
      </c>
      <c r="Q61" s="102">
        <v>191.2</v>
      </c>
      <c r="R61" s="102">
        <v>0.01</v>
      </c>
      <c r="S61" s="102">
        <v>2.0000000000000001E-4</v>
      </c>
      <c r="T61" s="102">
        <v>0.06</v>
      </c>
    </row>
    <row r="62" spans="1:20" ht="21.75" customHeight="1" x14ac:dyDescent="0.25">
      <c r="A62" s="154"/>
      <c r="B62" s="155" t="s">
        <v>249</v>
      </c>
      <c r="C62" s="157">
        <v>60</v>
      </c>
      <c r="D62" s="215">
        <v>2.6</v>
      </c>
      <c r="E62" s="215">
        <v>3.8</v>
      </c>
      <c r="F62" s="215">
        <v>2</v>
      </c>
      <c r="G62" s="216">
        <f t="shared" ref="G62" si="21">F62*4+E62*9+D62*4</f>
        <v>52.599999999999994</v>
      </c>
      <c r="H62" s="215">
        <v>0</v>
      </c>
      <c r="I62" s="215">
        <v>0</v>
      </c>
      <c r="J62" s="215">
        <v>39</v>
      </c>
      <c r="K62" s="215">
        <v>3.9E-2</v>
      </c>
      <c r="L62" s="216">
        <v>0</v>
      </c>
      <c r="M62" s="215">
        <v>10</v>
      </c>
      <c r="N62" s="215">
        <v>23.7</v>
      </c>
      <c r="O62" s="215">
        <v>53.01</v>
      </c>
      <c r="P62" s="215">
        <v>0.24</v>
      </c>
      <c r="Q62" s="215">
        <v>51.88</v>
      </c>
      <c r="R62" s="215">
        <v>2E-3</v>
      </c>
      <c r="S62" s="215">
        <v>2.0000000000000001E-4</v>
      </c>
      <c r="T62" s="215">
        <v>0.45</v>
      </c>
    </row>
    <row r="63" spans="1:20" ht="24" customHeight="1" x14ac:dyDescent="0.25">
      <c r="A63" s="154" t="s">
        <v>180</v>
      </c>
      <c r="B63" s="156" t="s">
        <v>179</v>
      </c>
      <c r="C63" s="157">
        <v>150</v>
      </c>
      <c r="D63" s="157">
        <v>5.0999999999999996</v>
      </c>
      <c r="E63" s="157">
        <v>6.27</v>
      </c>
      <c r="F63" s="157">
        <v>51.84</v>
      </c>
      <c r="G63" s="150">
        <f t="shared" ref="G63" si="22">4*D63+9*E63+4*F63</f>
        <v>284.19</v>
      </c>
      <c r="H63" s="157">
        <v>0.04</v>
      </c>
      <c r="I63" s="157">
        <v>0</v>
      </c>
      <c r="J63" s="157">
        <v>7.0000000000000007E-2</v>
      </c>
      <c r="K63" s="157">
        <v>0.28999999999999998</v>
      </c>
      <c r="L63" s="157">
        <v>2.9</v>
      </c>
      <c r="M63" s="157">
        <v>162.72999999999999</v>
      </c>
      <c r="N63" s="157">
        <v>17.5</v>
      </c>
      <c r="O63" s="157">
        <v>115.22</v>
      </c>
      <c r="P63" s="157">
        <v>0.53</v>
      </c>
      <c r="Q63" s="152">
        <v>84.7</v>
      </c>
      <c r="R63" s="152">
        <v>3.5999999999999999E-3</v>
      </c>
      <c r="S63" s="152">
        <v>8.9999999999999993E-3</v>
      </c>
      <c r="T63" s="152">
        <v>1.01</v>
      </c>
    </row>
    <row r="64" spans="1:20" ht="24" customHeight="1" x14ac:dyDescent="0.25">
      <c r="A64" s="137"/>
      <c r="B64" s="155" t="s">
        <v>66</v>
      </c>
      <c r="C64" s="157">
        <v>200</v>
      </c>
      <c r="D64" s="157">
        <v>0</v>
      </c>
      <c r="E64" s="157">
        <v>0</v>
      </c>
      <c r="F64" s="157">
        <v>22</v>
      </c>
      <c r="G64" s="157">
        <f>F64*4+E64*9+D64*4</f>
        <v>88</v>
      </c>
      <c r="H64" s="35">
        <v>7.0000000000000007E-2</v>
      </c>
      <c r="I64" s="35">
        <v>0.01</v>
      </c>
      <c r="J64" s="35">
        <v>100</v>
      </c>
      <c r="K64" s="35">
        <v>0.09</v>
      </c>
      <c r="L64" s="35">
        <v>0</v>
      </c>
      <c r="M64" s="35">
        <v>21.48</v>
      </c>
      <c r="N64" s="35">
        <v>8.4600000000000009</v>
      </c>
      <c r="O64" s="35">
        <v>49.79</v>
      </c>
      <c r="P64" s="71">
        <v>0.66</v>
      </c>
      <c r="Q64" s="152">
        <v>24</v>
      </c>
      <c r="R64" s="152">
        <v>0</v>
      </c>
      <c r="S64" s="152">
        <v>0</v>
      </c>
      <c r="T64" s="152">
        <v>0.68</v>
      </c>
    </row>
    <row r="65" spans="1:20" ht="24" customHeight="1" x14ac:dyDescent="0.25">
      <c r="A65" s="105" t="s">
        <v>92</v>
      </c>
      <c r="B65" s="19" t="s">
        <v>25</v>
      </c>
      <c r="C65" s="21">
        <v>25</v>
      </c>
      <c r="D65" s="21">
        <f>1.5*1.52</f>
        <v>2.2800000000000002</v>
      </c>
      <c r="E65" s="21">
        <f>1.5*0.16</f>
        <v>0.24</v>
      </c>
      <c r="F65" s="43">
        <f>1.5*10.03</f>
        <v>15.044999999999998</v>
      </c>
      <c r="G65" s="11">
        <f t="shared" ref="G65" si="23">(9*E65)+4*(F65+D65)</f>
        <v>71.459999999999994</v>
      </c>
      <c r="H65" s="21">
        <v>0.12</v>
      </c>
      <c r="I65" s="21">
        <v>0.06</v>
      </c>
      <c r="J65" s="21">
        <v>0</v>
      </c>
      <c r="K65" s="21">
        <v>0</v>
      </c>
      <c r="L65" s="21">
        <v>0</v>
      </c>
      <c r="M65" s="21">
        <v>22.5</v>
      </c>
      <c r="N65" s="21">
        <v>9.6</v>
      </c>
      <c r="O65" s="21">
        <v>36.799999999999997</v>
      </c>
      <c r="P65" s="72">
        <v>1.08</v>
      </c>
      <c r="Q65" s="102">
        <v>27.3</v>
      </c>
      <c r="R65" s="102">
        <v>8.9999999999999993E-3</v>
      </c>
      <c r="S65" s="102">
        <v>0</v>
      </c>
      <c r="T65" s="102">
        <v>0</v>
      </c>
    </row>
    <row r="66" spans="1:20" ht="24" customHeight="1" x14ac:dyDescent="0.25">
      <c r="A66" s="48" t="s">
        <v>94</v>
      </c>
      <c r="B66" s="3" t="s">
        <v>27</v>
      </c>
      <c r="C66" s="157">
        <v>25</v>
      </c>
      <c r="D66" s="157">
        <v>1.32</v>
      </c>
      <c r="E66" s="157">
        <v>0.24</v>
      </c>
      <c r="F66" s="157">
        <v>8.36</v>
      </c>
      <c r="G66" s="157">
        <f>(9*E66)+4*(F66+D66)</f>
        <v>40.879999999999995</v>
      </c>
      <c r="H66" s="157">
        <v>0.03</v>
      </c>
      <c r="I66" s="157">
        <v>0</v>
      </c>
      <c r="J66" s="157">
        <v>0</v>
      </c>
      <c r="K66" s="157">
        <v>0</v>
      </c>
      <c r="L66" s="157">
        <v>0</v>
      </c>
      <c r="M66" s="157">
        <v>5.08</v>
      </c>
      <c r="N66" s="157">
        <v>4.96</v>
      </c>
      <c r="O66" s="157">
        <v>40</v>
      </c>
      <c r="P66" s="158">
        <v>0.4</v>
      </c>
      <c r="Q66" s="152">
        <v>16.2</v>
      </c>
      <c r="R66" s="152">
        <v>6.0000000000000001E-3</v>
      </c>
      <c r="S66" s="152">
        <v>1E-3</v>
      </c>
      <c r="T66" s="152">
        <v>0</v>
      </c>
    </row>
    <row r="67" spans="1:20" ht="24" customHeight="1" x14ac:dyDescent="0.25">
      <c r="A67" s="269" t="s">
        <v>18</v>
      </c>
      <c r="B67" s="266"/>
      <c r="C67" s="13">
        <f>SUM(C61:C66)+250+10</f>
        <v>810</v>
      </c>
      <c r="D67" s="4">
        <f>D60+D61+D63+D64+D65+D66</f>
        <v>26.46</v>
      </c>
      <c r="E67" s="4">
        <f>SUM(E60:E66)</f>
        <v>30.889999999999997</v>
      </c>
      <c r="F67" s="9">
        <f t="shared" ref="F67:T67" si="24">SUM(F60:F66)</f>
        <v>123.605</v>
      </c>
      <c r="G67" s="4">
        <f t="shared" si="24"/>
        <v>888.67</v>
      </c>
      <c r="H67" s="5">
        <f t="shared" si="24"/>
        <v>0.41000000000000003</v>
      </c>
      <c r="I67" s="5">
        <f t="shared" si="24"/>
        <v>25.92</v>
      </c>
      <c r="J67" s="5">
        <f t="shared" si="24"/>
        <v>301.96999999999997</v>
      </c>
      <c r="K67" s="5">
        <f t="shared" si="24"/>
        <v>0.47299999999999998</v>
      </c>
      <c r="L67" s="5">
        <f>SUM(L60:L66)</f>
        <v>4.18</v>
      </c>
      <c r="M67" s="5">
        <f t="shared" si="24"/>
        <v>361.78000000000003</v>
      </c>
      <c r="N67" s="5">
        <f t="shared" si="24"/>
        <v>96.11999999999999</v>
      </c>
      <c r="O67" s="5">
        <f t="shared" si="24"/>
        <v>403.12</v>
      </c>
      <c r="P67" s="73">
        <f t="shared" si="24"/>
        <v>4.08</v>
      </c>
      <c r="Q67" s="73">
        <f t="shared" si="24"/>
        <v>452.47999999999996</v>
      </c>
      <c r="R67" s="73">
        <f t="shared" si="24"/>
        <v>4.0599999999999997E-2</v>
      </c>
      <c r="S67" s="73">
        <f t="shared" si="24"/>
        <v>1.09E-2</v>
      </c>
      <c r="T67" s="5">
        <f t="shared" si="24"/>
        <v>2.3000000000000003</v>
      </c>
    </row>
    <row r="68" spans="1:20" ht="24" customHeight="1" x14ac:dyDescent="0.25">
      <c r="A68" s="219" t="s">
        <v>40</v>
      </c>
      <c r="B68" s="268"/>
      <c r="C68" s="268"/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21"/>
      <c r="R68" s="221"/>
      <c r="S68" s="221"/>
      <c r="T68" s="222"/>
    </row>
    <row r="69" spans="1:20" ht="33" customHeight="1" x14ac:dyDescent="0.25">
      <c r="A69" s="50" t="s">
        <v>108</v>
      </c>
      <c r="B69" s="155" t="s">
        <v>33</v>
      </c>
      <c r="C69" s="157" t="s">
        <v>59</v>
      </c>
      <c r="D69" s="2">
        <v>6.34</v>
      </c>
      <c r="E69" s="2">
        <v>5.4</v>
      </c>
      <c r="F69" s="2">
        <v>24.3</v>
      </c>
      <c r="G69" s="2">
        <f>F69*4+E69*9+D69*4</f>
        <v>171.16000000000003</v>
      </c>
      <c r="H69" s="157">
        <v>0.12</v>
      </c>
      <c r="I69" s="157">
        <v>3.2</v>
      </c>
      <c r="J69" s="157">
        <v>111.2</v>
      </c>
      <c r="K69" s="157">
        <v>5.6500000000000002E-2</v>
      </c>
      <c r="L69" s="157">
        <v>3.72</v>
      </c>
      <c r="M69" s="157">
        <v>87.09</v>
      </c>
      <c r="N69" s="157">
        <v>26.85</v>
      </c>
      <c r="O69" s="157">
        <v>98.25</v>
      </c>
      <c r="P69" s="157">
        <v>0.35199999999999998</v>
      </c>
      <c r="Q69" s="152">
        <v>87</v>
      </c>
      <c r="R69" s="152">
        <v>8.0000000000000002E-3</v>
      </c>
      <c r="S69" s="152">
        <v>2E-3</v>
      </c>
      <c r="T69" s="152">
        <v>0.3</v>
      </c>
    </row>
    <row r="70" spans="1:20" ht="33.75" customHeight="1" x14ac:dyDescent="0.25">
      <c r="A70" s="53" t="s">
        <v>118</v>
      </c>
      <c r="B70" s="155" t="s">
        <v>42</v>
      </c>
      <c r="C70" s="157">
        <v>200</v>
      </c>
      <c r="D70" s="157">
        <v>5.6</v>
      </c>
      <c r="E70" s="157">
        <v>5</v>
      </c>
      <c r="F70" s="157">
        <v>18.989999999999998</v>
      </c>
      <c r="G70" s="157">
        <v>145.63999999999999</v>
      </c>
      <c r="H70" s="157">
        <v>0.06</v>
      </c>
      <c r="I70" s="157">
        <v>0.02</v>
      </c>
      <c r="J70" s="157">
        <v>24.6</v>
      </c>
      <c r="K70" s="157">
        <v>0.14499999999999999</v>
      </c>
      <c r="L70" s="157">
        <v>0</v>
      </c>
      <c r="M70" s="157">
        <v>248</v>
      </c>
      <c r="N70" s="157">
        <v>10</v>
      </c>
      <c r="O70" s="157">
        <v>190</v>
      </c>
      <c r="P70" s="158">
        <v>0.2</v>
      </c>
      <c r="Q70" s="152">
        <v>74</v>
      </c>
      <c r="R70" s="152">
        <v>0</v>
      </c>
      <c r="S70" s="152">
        <v>0</v>
      </c>
      <c r="T70" s="152">
        <v>0</v>
      </c>
    </row>
    <row r="71" spans="1:20" ht="24" customHeight="1" x14ac:dyDescent="0.25">
      <c r="A71" s="48"/>
      <c r="B71" s="18" t="s">
        <v>184</v>
      </c>
      <c r="C71" s="99">
        <v>65</v>
      </c>
      <c r="D71" s="99">
        <v>2.9</v>
      </c>
      <c r="E71" s="99">
        <v>2.1</v>
      </c>
      <c r="F71" s="99">
        <v>11.34</v>
      </c>
      <c r="G71" s="109">
        <f>(9*E71)+4*(F71+D71)</f>
        <v>75.86</v>
      </c>
      <c r="H71" s="114">
        <v>0.03</v>
      </c>
      <c r="I71" s="114">
        <v>10</v>
      </c>
      <c r="J71" s="114">
        <v>0.03</v>
      </c>
      <c r="K71" s="114">
        <v>0.02</v>
      </c>
      <c r="L71" s="114">
        <v>0</v>
      </c>
      <c r="M71" s="114">
        <v>9.5</v>
      </c>
      <c r="N71" s="114">
        <v>7</v>
      </c>
      <c r="O71" s="114">
        <v>9.5</v>
      </c>
      <c r="P71" s="111">
        <v>1.2</v>
      </c>
      <c r="Q71" s="102">
        <v>0.4</v>
      </c>
      <c r="R71" s="102">
        <v>1.7000000000000001E-2</v>
      </c>
      <c r="S71" s="102">
        <v>0</v>
      </c>
      <c r="T71" s="102">
        <v>0.06</v>
      </c>
    </row>
    <row r="72" spans="1:20" ht="24" customHeight="1" x14ac:dyDescent="0.25">
      <c r="A72" s="225" t="s">
        <v>18</v>
      </c>
      <c r="B72" s="266"/>
      <c r="C72" s="101">
        <f>120+C70+C71</f>
        <v>385</v>
      </c>
      <c r="D72" s="4">
        <f>SUM(D69:D71)</f>
        <v>14.84</v>
      </c>
      <c r="E72" s="4">
        <f t="shared" ref="E72:G72" si="25">SUM(E69:E71)</f>
        <v>12.5</v>
      </c>
      <c r="F72" s="4">
        <f t="shared" si="25"/>
        <v>54.629999999999995</v>
      </c>
      <c r="G72" s="4">
        <f t="shared" si="25"/>
        <v>392.66</v>
      </c>
      <c r="H72" s="142">
        <f t="shared" ref="H72:T72" si="26">SUM(H69:H71)</f>
        <v>0.21</v>
      </c>
      <c r="I72" s="37">
        <f t="shared" si="26"/>
        <v>13.22</v>
      </c>
      <c r="J72" s="37">
        <f t="shared" si="26"/>
        <v>135.83000000000001</v>
      </c>
      <c r="K72" s="37">
        <f t="shared" si="26"/>
        <v>0.22149999999999997</v>
      </c>
      <c r="L72" s="37">
        <f t="shared" si="26"/>
        <v>3.72</v>
      </c>
      <c r="M72" s="37">
        <f t="shared" si="26"/>
        <v>344.59000000000003</v>
      </c>
      <c r="N72" s="37">
        <f t="shared" si="26"/>
        <v>43.85</v>
      </c>
      <c r="O72" s="37">
        <f t="shared" si="26"/>
        <v>297.75</v>
      </c>
      <c r="P72" s="75">
        <f t="shared" si="26"/>
        <v>1.752</v>
      </c>
      <c r="Q72" s="75">
        <f t="shared" si="26"/>
        <v>161.4</v>
      </c>
      <c r="R72" s="75">
        <f t="shared" si="26"/>
        <v>2.5000000000000001E-2</v>
      </c>
      <c r="S72" s="75">
        <f t="shared" si="26"/>
        <v>2E-3</v>
      </c>
      <c r="T72" s="37">
        <f t="shared" si="26"/>
        <v>0.36</v>
      </c>
    </row>
    <row r="73" spans="1:20" ht="24" customHeight="1" x14ac:dyDescent="0.25">
      <c r="A73" s="225" t="s">
        <v>20</v>
      </c>
      <c r="B73" s="226"/>
      <c r="C73" s="143">
        <f>+C58+C67+C72</f>
        <v>1705</v>
      </c>
      <c r="D73" s="9">
        <f>D58+D67+D72</f>
        <v>60.8</v>
      </c>
      <c r="E73" s="4">
        <f t="shared" ref="E73:T73" si="27">E58+E67+E72</f>
        <v>64.289999999999992</v>
      </c>
      <c r="F73" s="9">
        <f t="shared" si="27"/>
        <v>262.20999999999998</v>
      </c>
      <c r="G73" s="9">
        <f t="shared" si="27"/>
        <v>1883.3300000000002</v>
      </c>
      <c r="H73" s="91">
        <f t="shared" si="27"/>
        <v>0.91999999999999993</v>
      </c>
      <c r="I73" s="13">
        <f t="shared" si="27"/>
        <v>47.230000000000004</v>
      </c>
      <c r="J73" s="13">
        <f t="shared" si="27"/>
        <v>564.1</v>
      </c>
      <c r="K73" s="13">
        <f t="shared" si="27"/>
        <v>1.1145</v>
      </c>
      <c r="L73" s="91">
        <f>L58+L67+L72</f>
        <v>7.9499999999999993</v>
      </c>
      <c r="M73" s="13">
        <f t="shared" si="27"/>
        <v>867.7700000000001</v>
      </c>
      <c r="N73" s="13">
        <f t="shared" si="27"/>
        <v>203.26999999999998</v>
      </c>
      <c r="O73" s="13">
        <f t="shared" si="27"/>
        <v>868.31</v>
      </c>
      <c r="P73" s="112">
        <f t="shared" si="27"/>
        <v>9.0220000000000002</v>
      </c>
      <c r="Q73" s="112">
        <f t="shared" si="27"/>
        <v>868.68</v>
      </c>
      <c r="R73" s="112">
        <f t="shared" si="27"/>
        <v>7.6600000000000001E-2</v>
      </c>
      <c r="S73" s="90">
        <f t="shared" si="27"/>
        <v>1.9900000000000001E-2</v>
      </c>
      <c r="T73" s="91">
        <f t="shared" si="27"/>
        <v>3.31</v>
      </c>
    </row>
    <row r="74" spans="1:20" ht="24" customHeight="1" x14ac:dyDescent="0.25">
      <c r="A74" s="234" t="s">
        <v>46</v>
      </c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21"/>
      <c r="R74" s="221"/>
      <c r="S74" s="221"/>
      <c r="T74" s="222"/>
    </row>
    <row r="75" spans="1:20" ht="24" customHeight="1" x14ac:dyDescent="0.25">
      <c r="A75" s="229" t="s">
        <v>17</v>
      </c>
      <c r="B75" s="230"/>
      <c r="C75" s="230"/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21"/>
      <c r="R75" s="221"/>
      <c r="S75" s="221"/>
      <c r="T75" s="222"/>
    </row>
    <row r="76" spans="1:20" ht="47.25" customHeight="1" x14ac:dyDescent="0.25">
      <c r="A76" s="154" t="s">
        <v>101</v>
      </c>
      <c r="B76" s="155" t="s">
        <v>190</v>
      </c>
      <c r="C76" s="157" t="s">
        <v>56</v>
      </c>
      <c r="D76" s="157">
        <v>8.83</v>
      </c>
      <c r="E76" s="2">
        <v>13.08</v>
      </c>
      <c r="F76" s="157">
        <v>45.7</v>
      </c>
      <c r="G76" s="2">
        <f>120.8*2.1</f>
        <v>253.68</v>
      </c>
      <c r="H76" s="157">
        <v>0.18</v>
      </c>
      <c r="I76" s="157">
        <v>0.06</v>
      </c>
      <c r="J76" s="157">
        <v>125.8</v>
      </c>
      <c r="K76" s="157">
        <v>0.03</v>
      </c>
      <c r="L76" s="157">
        <v>0</v>
      </c>
      <c r="M76" s="157">
        <v>105.6</v>
      </c>
      <c r="N76" s="157">
        <v>38.700000000000003</v>
      </c>
      <c r="O76" s="157">
        <v>108.4</v>
      </c>
      <c r="P76" s="158">
        <v>0.67</v>
      </c>
      <c r="Q76" s="152">
        <v>99</v>
      </c>
      <c r="R76" s="152">
        <v>1E-3</v>
      </c>
      <c r="S76" s="152">
        <v>3.0000000000000001E-3</v>
      </c>
      <c r="T76" s="152">
        <v>0</v>
      </c>
    </row>
    <row r="77" spans="1:20" ht="34.15" customHeight="1" x14ac:dyDescent="0.25">
      <c r="A77" s="174" t="s">
        <v>191</v>
      </c>
      <c r="B77" s="1" t="s">
        <v>86</v>
      </c>
      <c r="C77" s="175">
        <v>40</v>
      </c>
      <c r="D77" s="175">
        <v>6.35</v>
      </c>
      <c r="E77" s="175">
        <v>5.75</v>
      </c>
      <c r="F77" s="175">
        <f>0.7*0.4</f>
        <v>0.27999999999999997</v>
      </c>
      <c r="G77" s="175">
        <f>157*0.4</f>
        <v>62.800000000000004</v>
      </c>
      <c r="H77" s="157">
        <v>0.02</v>
      </c>
      <c r="I77" s="157">
        <v>5.5</v>
      </c>
      <c r="J77" s="157">
        <v>0</v>
      </c>
      <c r="K77" s="157">
        <v>0.17899999999999999</v>
      </c>
      <c r="L77" s="157">
        <v>0</v>
      </c>
      <c r="M77" s="157">
        <v>19.73</v>
      </c>
      <c r="N77" s="157">
        <v>12.22</v>
      </c>
      <c r="O77" s="157">
        <v>25.9</v>
      </c>
      <c r="P77" s="157">
        <v>0.7</v>
      </c>
      <c r="Q77" s="152">
        <v>68.400000000000006</v>
      </c>
      <c r="R77" s="152">
        <v>0</v>
      </c>
      <c r="S77" s="152">
        <v>0</v>
      </c>
      <c r="T77" s="152">
        <v>0</v>
      </c>
    </row>
    <row r="78" spans="1:20" ht="25.5" customHeight="1" x14ac:dyDescent="0.25">
      <c r="A78" s="48"/>
      <c r="B78" s="155" t="s">
        <v>192</v>
      </c>
      <c r="C78" s="157">
        <v>30</v>
      </c>
      <c r="D78" s="157">
        <v>2.2000000000000002</v>
      </c>
      <c r="E78" s="157">
        <v>0.7</v>
      </c>
      <c r="F78" s="157">
        <v>12.6</v>
      </c>
      <c r="G78" s="175">
        <f>157*0.4</f>
        <v>62.800000000000004</v>
      </c>
      <c r="H78" s="157">
        <v>0.03</v>
      </c>
      <c r="I78" s="157">
        <v>8.4</v>
      </c>
      <c r="J78" s="157">
        <v>50</v>
      </c>
      <c r="K78" s="157">
        <v>0</v>
      </c>
      <c r="L78" s="157">
        <v>2.41</v>
      </c>
      <c r="M78" s="157">
        <v>89.7</v>
      </c>
      <c r="N78" s="157">
        <v>16</v>
      </c>
      <c r="O78" s="157">
        <v>91.3</v>
      </c>
      <c r="P78" s="158">
        <v>0.08</v>
      </c>
      <c r="Q78" s="152">
        <v>57.4</v>
      </c>
      <c r="R78" s="152">
        <v>0.01</v>
      </c>
      <c r="S78" s="152">
        <v>7.0000000000000001E-3</v>
      </c>
      <c r="T78" s="152">
        <v>0.55000000000000004</v>
      </c>
    </row>
    <row r="79" spans="1:20" ht="39" customHeight="1" x14ac:dyDescent="0.25">
      <c r="A79" s="154" t="s">
        <v>75</v>
      </c>
      <c r="B79" s="155" t="s">
        <v>160</v>
      </c>
      <c r="C79" s="157" t="s">
        <v>56</v>
      </c>
      <c r="D79" s="157">
        <v>0</v>
      </c>
      <c r="E79" s="157">
        <v>0</v>
      </c>
      <c r="F79" s="157">
        <f>4.8*2.1</f>
        <v>10.08</v>
      </c>
      <c r="G79" s="157">
        <f>19+2.1</f>
        <v>21.1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12</v>
      </c>
      <c r="N79" s="157">
        <v>6</v>
      </c>
      <c r="O79" s="157">
        <v>8.24</v>
      </c>
      <c r="P79" s="158">
        <v>0.86</v>
      </c>
      <c r="Q79" s="152">
        <v>24</v>
      </c>
      <c r="R79" s="152">
        <v>0</v>
      </c>
      <c r="S79" s="152">
        <v>0</v>
      </c>
      <c r="T79" s="152">
        <v>0.2</v>
      </c>
    </row>
    <row r="80" spans="1:20" ht="25.5" x14ac:dyDescent="0.25">
      <c r="A80" s="153" t="s">
        <v>92</v>
      </c>
      <c r="B80" s="19" t="s">
        <v>25</v>
      </c>
      <c r="C80" s="21">
        <v>25</v>
      </c>
      <c r="D80" s="21">
        <f>1.5*1.52</f>
        <v>2.2800000000000002</v>
      </c>
      <c r="E80" s="21">
        <f>1.5*0.16</f>
        <v>0.24</v>
      </c>
      <c r="F80" s="43">
        <f>1.5*10.03</f>
        <v>15.044999999999998</v>
      </c>
      <c r="G80" s="11">
        <f>(9*E80)+4*(F80+D80)</f>
        <v>71.459999999999994</v>
      </c>
      <c r="H80" s="21">
        <v>0.12</v>
      </c>
      <c r="I80" s="21">
        <v>0.06</v>
      </c>
      <c r="J80" s="21">
        <v>0</v>
      </c>
      <c r="K80" s="21">
        <v>0</v>
      </c>
      <c r="L80" s="21">
        <v>0</v>
      </c>
      <c r="M80" s="21">
        <v>22.5</v>
      </c>
      <c r="N80" s="21">
        <v>9.6</v>
      </c>
      <c r="O80" s="21">
        <v>36.799999999999997</v>
      </c>
      <c r="P80" s="72">
        <v>1.08</v>
      </c>
      <c r="Q80" s="152">
        <v>27.3</v>
      </c>
      <c r="R80" s="152">
        <v>8.9999999999999993E-3</v>
      </c>
      <c r="S80" s="152">
        <v>0</v>
      </c>
      <c r="T80" s="152">
        <v>0</v>
      </c>
    </row>
    <row r="81" spans="1:20" ht="24" customHeight="1" x14ac:dyDescent="0.25">
      <c r="A81" s="225" t="s">
        <v>18</v>
      </c>
      <c r="B81" s="243"/>
      <c r="C81" s="44">
        <v>515</v>
      </c>
      <c r="D81" s="9">
        <f t="shared" ref="D81:T81" si="28">SUM(D76:D80)</f>
        <v>19.66</v>
      </c>
      <c r="E81" s="9">
        <f t="shared" si="28"/>
        <v>19.769999999999996</v>
      </c>
      <c r="F81" s="9">
        <f t="shared" si="28"/>
        <v>83.705000000000013</v>
      </c>
      <c r="G81" s="9">
        <f t="shared" si="28"/>
        <v>471.84000000000003</v>
      </c>
      <c r="H81" s="10">
        <f t="shared" si="28"/>
        <v>0.35</v>
      </c>
      <c r="I81" s="10">
        <f t="shared" si="28"/>
        <v>14.020000000000001</v>
      </c>
      <c r="J81" s="10">
        <f t="shared" si="28"/>
        <v>175.8</v>
      </c>
      <c r="K81" s="10">
        <f t="shared" si="28"/>
        <v>0.20899999999999999</v>
      </c>
      <c r="L81" s="10">
        <f t="shared" si="28"/>
        <v>2.41</v>
      </c>
      <c r="M81" s="10">
        <f t="shared" si="28"/>
        <v>249.53</v>
      </c>
      <c r="N81" s="10">
        <f t="shared" si="28"/>
        <v>82.52</v>
      </c>
      <c r="O81" s="10">
        <f t="shared" si="28"/>
        <v>270.64000000000004</v>
      </c>
      <c r="P81" s="74">
        <f t="shared" si="28"/>
        <v>3.39</v>
      </c>
      <c r="Q81" s="74">
        <f t="shared" si="28"/>
        <v>276.10000000000002</v>
      </c>
      <c r="R81" s="74">
        <f t="shared" si="28"/>
        <v>1.9999999999999997E-2</v>
      </c>
      <c r="S81" s="74">
        <f t="shared" si="28"/>
        <v>0.01</v>
      </c>
      <c r="T81" s="10">
        <f t="shared" si="28"/>
        <v>0.75</v>
      </c>
    </row>
    <row r="82" spans="1:20" ht="24" customHeight="1" x14ac:dyDescent="0.25">
      <c r="A82" s="229" t="s">
        <v>19</v>
      </c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30"/>
      <c r="P82" s="230"/>
      <c r="Q82" s="221"/>
      <c r="R82" s="221"/>
      <c r="S82" s="221"/>
      <c r="T82" s="222"/>
    </row>
    <row r="83" spans="1:20" ht="49.5" customHeight="1" x14ac:dyDescent="0.25">
      <c r="A83" s="153" t="s">
        <v>185</v>
      </c>
      <c r="B83" s="155" t="s">
        <v>186</v>
      </c>
      <c r="C83" s="157">
        <v>250</v>
      </c>
      <c r="D83" s="157">
        <v>7.04</v>
      </c>
      <c r="E83" s="157">
        <v>4.3</v>
      </c>
      <c r="F83" s="157">
        <v>17.38</v>
      </c>
      <c r="G83" s="157">
        <f>D83*4+E83*9+F83*4</f>
        <v>136.38</v>
      </c>
      <c r="H83" s="157">
        <v>0.02</v>
      </c>
      <c r="I83" s="157">
        <v>7.3</v>
      </c>
      <c r="J83" s="157">
        <v>3.4</v>
      </c>
      <c r="K83" s="157">
        <v>0.08</v>
      </c>
      <c r="L83" s="157">
        <v>2.27</v>
      </c>
      <c r="M83" s="157">
        <v>118.8</v>
      </c>
      <c r="N83" s="157">
        <v>38.9</v>
      </c>
      <c r="O83" s="157">
        <v>104.4</v>
      </c>
      <c r="P83" s="158">
        <v>1.02</v>
      </c>
      <c r="Q83" s="152">
        <v>54.66</v>
      </c>
      <c r="R83" s="152">
        <v>3.0000000000000001E-3</v>
      </c>
      <c r="S83" s="152">
        <v>6.0000000000000001E-3</v>
      </c>
      <c r="T83" s="152">
        <v>1.64</v>
      </c>
    </row>
    <row r="84" spans="1:20" ht="32.25" customHeight="1" x14ac:dyDescent="0.25">
      <c r="A84" s="48" t="s">
        <v>187</v>
      </c>
      <c r="B84" s="155" t="s">
        <v>37</v>
      </c>
      <c r="C84" s="157">
        <v>150</v>
      </c>
      <c r="D84" s="157">
        <v>10.43</v>
      </c>
      <c r="E84" s="157">
        <v>17.02</v>
      </c>
      <c r="F84" s="157">
        <v>11.23</v>
      </c>
      <c r="G84" s="11">
        <f>(9*E84)+4*(F84+D84)</f>
        <v>239.82</v>
      </c>
      <c r="H84" s="157">
        <v>0.1</v>
      </c>
      <c r="I84" s="157">
        <v>12.75</v>
      </c>
      <c r="J84" s="157">
        <v>156</v>
      </c>
      <c r="K84" s="157">
        <v>8.9999999999999993E-3</v>
      </c>
      <c r="L84" s="157">
        <v>0</v>
      </c>
      <c r="M84" s="157">
        <v>119.8</v>
      </c>
      <c r="N84" s="157">
        <v>2.11</v>
      </c>
      <c r="O84" s="157">
        <v>76.95</v>
      </c>
      <c r="P84" s="158">
        <v>0.35</v>
      </c>
      <c r="Q84" s="152">
        <v>72.8</v>
      </c>
      <c r="R84" s="152">
        <v>0</v>
      </c>
      <c r="S84" s="152">
        <v>0</v>
      </c>
      <c r="T84" s="152">
        <v>0</v>
      </c>
    </row>
    <row r="85" spans="1:20" ht="25.5" x14ac:dyDescent="0.25">
      <c r="A85" s="48" t="s">
        <v>130</v>
      </c>
      <c r="B85" s="155" t="s">
        <v>188</v>
      </c>
      <c r="C85" s="157">
        <v>25</v>
      </c>
      <c r="D85" s="157">
        <v>8.6999999999999993</v>
      </c>
      <c r="E85" s="157">
        <v>1.02</v>
      </c>
      <c r="F85" s="157">
        <v>1.02</v>
      </c>
      <c r="G85" s="157">
        <f>4*D85+9*E85+4*F85</f>
        <v>48.059999999999995</v>
      </c>
      <c r="H85" s="157">
        <v>0.09</v>
      </c>
      <c r="I85" s="157">
        <v>0.49</v>
      </c>
      <c r="J85" s="157">
        <v>143</v>
      </c>
      <c r="K85" s="157">
        <v>8.0000000000000002E-3</v>
      </c>
      <c r="L85" s="157">
        <v>1.8</v>
      </c>
      <c r="M85" s="157">
        <v>61.8</v>
      </c>
      <c r="N85" s="157">
        <v>22.9</v>
      </c>
      <c r="O85" s="157">
        <v>104.3</v>
      </c>
      <c r="P85" s="76">
        <v>0.6</v>
      </c>
      <c r="Q85" s="152">
        <v>76.400000000000006</v>
      </c>
      <c r="R85" s="152">
        <v>2E-3</v>
      </c>
      <c r="S85" s="152">
        <v>5.0000000000000001E-3</v>
      </c>
      <c r="T85" s="152">
        <v>0.01</v>
      </c>
    </row>
    <row r="86" spans="1:20" ht="24" customHeight="1" x14ac:dyDescent="0.25">
      <c r="A86" s="154" t="s">
        <v>113</v>
      </c>
      <c r="B86" s="156" t="s">
        <v>29</v>
      </c>
      <c r="C86" s="157">
        <v>25</v>
      </c>
      <c r="D86" s="157">
        <v>4.0999999999999996</v>
      </c>
      <c r="E86" s="157">
        <v>11.27</v>
      </c>
      <c r="F86" s="157">
        <v>41.76</v>
      </c>
      <c r="G86" s="157">
        <f t="shared" ref="G86" si="29">4*D86+9*E86+4*F86</f>
        <v>284.87</v>
      </c>
      <c r="H86" s="157">
        <v>0.04</v>
      </c>
      <c r="I86" s="157">
        <v>0</v>
      </c>
      <c r="J86" s="157">
        <v>7.0000000000000007E-2</v>
      </c>
      <c r="K86" s="157">
        <v>0.38</v>
      </c>
      <c r="L86" s="157">
        <v>1.2E-2</v>
      </c>
      <c r="M86" s="157">
        <v>67.73</v>
      </c>
      <c r="N86" s="157">
        <v>7.5</v>
      </c>
      <c r="O86" s="157">
        <v>65.62</v>
      </c>
      <c r="P86" s="157">
        <v>0.83</v>
      </c>
      <c r="Q86" s="152">
        <v>84.7</v>
      </c>
      <c r="R86" s="152">
        <v>7.0000000000000001E-3</v>
      </c>
      <c r="S86" s="152">
        <v>1E-3</v>
      </c>
      <c r="T86" s="152">
        <v>0.3</v>
      </c>
    </row>
    <row r="87" spans="1:20" ht="15.75" x14ac:dyDescent="0.25">
      <c r="A87" s="174" t="s">
        <v>189</v>
      </c>
      <c r="B87" s="1" t="s">
        <v>70</v>
      </c>
      <c r="C87" s="175">
        <v>200</v>
      </c>
      <c r="D87" s="175">
        <f>0.22*2</f>
        <v>0.44</v>
      </c>
      <c r="E87" s="175">
        <f>0.02*2</f>
        <v>0.04</v>
      </c>
      <c r="F87" s="175">
        <f>8.99*2</f>
        <v>17.98</v>
      </c>
      <c r="G87" s="176">
        <f>37.02*2</f>
        <v>74.040000000000006</v>
      </c>
      <c r="H87" s="175">
        <v>0</v>
      </c>
      <c r="I87" s="175">
        <v>0.1</v>
      </c>
      <c r="J87" s="175">
        <v>0</v>
      </c>
      <c r="K87" s="175">
        <v>0</v>
      </c>
      <c r="L87" s="175">
        <v>0</v>
      </c>
      <c r="M87" s="175">
        <v>5.25</v>
      </c>
      <c r="N87" s="175">
        <v>4.4000000000000004</v>
      </c>
      <c r="O87" s="175">
        <v>8.24</v>
      </c>
      <c r="P87" s="177">
        <v>0.86</v>
      </c>
      <c r="Q87" s="178">
        <v>68</v>
      </c>
      <c r="R87" s="178">
        <v>6.3E-3</v>
      </c>
      <c r="S87" s="178">
        <v>0</v>
      </c>
      <c r="T87" s="178">
        <v>0</v>
      </c>
    </row>
    <row r="88" spans="1:20" ht="24" customHeight="1" x14ac:dyDescent="0.25">
      <c r="A88" s="48" t="s">
        <v>93</v>
      </c>
      <c r="B88" s="19" t="s">
        <v>25</v>
      </c>
      <c r="C88" s="21">
        <v>25</v>
      </c>
      <c r="D88" s="21">
        <f>2*1.52</f>
        <v>3.04</v>
      </c>
      <c r="E88" s="21">
        <f>2*0.16</f>
        <v>0.32</v>
      </c>
      <c r="F88" s="21">
        <f>2*10.03</f>
        <v>20.059999999999999</v>
      </c>
      <c r="G88" s="11">
        <f t="shared" ref="G88" si="30">(9*E88)+4*(F88+D88)</f>
        <v>95.279999999999987</v>
      </c>
      <c r="H88" s="21">
        <v>0.16</v>
      </c>
      <c r="I88" s="21">
        <v>0.08</v>
      </c>
      <c r="J88" s="21">
        <v>0</v>
      </c>
      <c r="K88" s="21">
        <v>0</v>
      </c>
      <c r="L88" s="21">
        <v>0</v>
      </c>
      <c r="M88" s="21">
        <v>8</v>
      </c>
      <c r="N88" s="21">
        <v>5.6</v>
      </c>
      <c r="O88" s="21">
        <v>26</v>
      </c>
      <c r="P88" s="72">
        <v>0.44</v>
      </c>
      <c r="Q88" s="152">
        <v>37.200000000000003</v>
      </c>
      <c r="R88" s="152">
        <v>1.2E-2</v>
      </c>
      <c r="S88" s="152">
        <v>2E-3</v>
      </c>
      <c r="T88" s="152">
        <v>0</v>
      </c>
    </row>
    <row r="89" spans="1:20" ht="24" customHeight="1" x14ac:dyDescent="0.25">
      <c r="A89" s="48" t="s">
        <v>94</v>
      </c>
      <c r="B89" s="3" t="s">
        <v>27</v>
      </c>
      <c r="C89" s="157">
        <v>25</v>
      </c>
      <c r="D89" s="157">
        <f>2*1.32</f>
        <v>2.64</v>
      </c>
      <c r="E89" s="157">
        <f>2*0.24</f>
        <v>0.48</v>
      </c>
      <c r="F89" s="157">
        <f>2*8.36</f>
        <v>16.72</v>
      </c>
      <c r="G89" s="157">
        <f t="shared" ref="G89" si="31">4*D89+9*E89+4*F89</f>
        <v>81.759999999999991</v>
      </c>
      <c r="H89" s="157">
        <v>0.03</v>
      </c>
      <c r="I89" s="157">
        <v>0</v>
      </c>
      <c r="J89" s="157">
        <v>0</v>
      </c>
      <c r="K89" s="157">
        <v>0</v>
      </c>
      <c r="L89" s="157">
        <v>0</v>
      </c>
      <c r="M89" s="157">
        <v>5.08</v>
      </c>
      <c r="N89" s="157">
        <v>4.96</v>
      </c>
      <c r="O89" s="157">
        <v>40</v>
      </c>
      <c r="P89" s="158">
        <v>0.4</v>
      </c>
      <c r="Q89" s="152">
        <v>32.4</v>
      </c>
      <c r="R89" s="152">
        <v>1.2E-2</v>
      </c>
      <c r="S89" s="152">
        <v>2E-3</v>
      </c>
      <c r="T89" s="152">
        <v>0</v>
      </c>
    </row>
    <row r="90" spans="1:20" ht="24" customHeight="1" x14ac:dyDescent="0.25">
      <c r="A90" s="225" t="s">
        <v>18</v>
      </c>
      <c r="B90" s="266"/>
      <c r="C90" s="101">
        <v>700</v>
      </c>
      <c r="D90" s="4">
        <f>SUM(D83:D89)</f>
        <v>36.39</v>
      </c>
      <c r="E90" s="4">
        <f t="shared" ref="E90:G90" si="32">SUM(E83:E89)</f>
        <v>34.449999999999996</v>
      </c>
      <c r="F90" s="4">
        <f t="shared" si="32"/>
        <v>126.15</v>
      </c>
      <c r="G90" s="4">
        <f t="shared" si="32"/>
        <v>960.20999999999992</v>
      </c>
      <c r="H90" s="5">
        <f t="shared" ref="H90:T90" si="33">SUM(H83:H89)</f>
        <v>0.44000000000000006</v>
      </c>
      <c r="I90" s="5">
        <f>SUM(I83:I89)</f>
        <v>20.72</v>
      </c>
      <c r="J90" s="10">
        <f t="shared" si="33"/>
        <v>302.46999999999997</v>
      </c>
      <c r="K90" s="5">
        <f>SUM(K83:K89)</f>
        <v>0.47699999999999998</v>
      </c>
      <c r="L90" s="5">
        <f>SUM(L83:L89)</f>
        <v>4.0819999999999999</v>
      </c>
      <c r="M90" s="5">
        <f t="shared" si="33"/>
        <v>386.46</v>
      </c>
      <c r="N90" s="5">
        <f t="shared" si="33"/>
        <v>86.36999999999999</v>
      </c>
      <c r="O90" s="5">
        <f t="shared" si="33"/>
        <v>425.51000000000005</v>
      </c>
      <c r="P90" s="73">
        <f t="shared" si="33"/>
        <v>4.5000000000000009</v>
      </c>
      <c r="Q90" s="73">
        <f t="shared" si="33"/>
        <v>426.15999999999997</v>
      </c>
      <c r="R90" s="73">
        <f t="shared" si="33"/>
        <v>4.2300000000000004E-2</v>
      </c>
      <c r="S90" s="73">
        <f t="shared" si="33"/>
        <v>1.6E-2</v>
      </c>
      <c r="T90" s="5">
        <f t="shared" si="33"/>
        <v>1.95</v>
      </c>
    </row>
    <row r="91" spans="1:20" ht="24" customHeight="1" x14ac:dyDescent="0.25">
      <c r="A91" s="229" t="s">
        <v>40</v>
      </c>
      <c r="B91" s="239"/>
      <c r="C91" s="239"/>
      <c r="D91" s="239"/>
      <c r="E91" s="239"/>
      <c r="F91" s="239"/>
      <c r="G91" s="239"/>
      <c r="H91" s="239"/>
      <c r="I91" s="239"/>
      <c r="J91" s="239"/>
      <c r="K91" s="239"/>
      <c r="L91" s="239"/>
      <c r="M91" s="239"/>
      <c r="N91" s="239"/>
      <c r="O91" s="239"/>
      <c r="P91" s="239"/>
      <c r="Q91" s="221"/>
      <c r="R91" s="221"/>
      <c r="S91" s="221"/>
      <c r="T91" s="222"/>
    </row>
    <row r="92" spans="1:20" ht="34.700000000000003" customHeight="1" x14ac:dyDescent="0.25">
      <c r="A92" s="47" t="s">
        <v>193</v>
      </c>
      <c r="B92" s="1" t="s">
        <v>194</v>
      </c>
      <c r="C92" s="175">
        <v>200</v>
      </c>
      <c r="D92" s="175">
        <v>0</v>
      </c>
      <c r="E92" s="175">
        <v>0</v>
      </c>
      <c r="F92" s="175">
        <f>11.75*2</f>
        <v>23.5</v>
      </c>
      <c r="G92" s="175">
        <f>47*2</f>
        <v>94</v>
      </c>
      <c r="H92" s="175">
        <v>2E-3</v>
      </c>
      <c r="I92" s="175">
        <v>1.83</v>
      </c>
      <c r="J92" s="175">
        <v>0</v>
      </c>
      <c r="K92" s="175">
        <v>0</v>
      </c>
      <c r="L92" s="175">
        <v>0</v>
      </c>
      <c r="M92" s="175">
        <v>138.4</v>
      </c>
      <c r="N92" s="175">
        <v>12.4</v>
      </c>
      <c r="O92" s="175">
        <v>104</v>
      </c>
      <c r="P92" s="177">
        <v>0.15</v>
      </c>
      <c r="Q92" s="178">
        <v>110</v>
      </c>
      <c r="R92" s="178">
        <v>0</v>
      </c>
      <c r="S92" s="178">
        <v>0</v>
      </c>
      <c r="T92" s="178">
        <v>0</v>
      </c>
    </row>
    <row r="93" spans="1:20" ht="32.25" customHeight="1" x14ac:dyDescent="0.25">
      <c r="A93" s="48" t="s">
        <v>195</v>
      </c>
      <c r="B93" s="155" t="s">
        <v>196</v>
      </c>
      <c r="C93" s="157">
        <v>60</v>
      </c>
      <c r="D93" s="2">
        <v>6.42</v>
      </c>
      <c r="E93" s="2">
        <v>9.6</v>
      </c>
      <c r="F93" s="2">
        <v>18.170000000000002</v>
      </c>
      <c r="G93" s="11">
        <f>409.4*0.5</f>
        <v>204.7</v>
      </c>
      <c r="H93" s="157">
        <v>0.16</v>
      </c>
      <c r="I93" s="157">
        <v>0.9</v>
      </c>
      <c r="J93" s="157">
        <v>74.5</v>
      </c>
      <c r="K93" s="157">
        <v>0.34</v>
      </c>
      <c r="L93" s="157">
        <v>1.41</v>
      </c>
      <c r="M93" s="157">
        <v>83.2</v>
      </c>
      <c r="N93" s="157">
        <v>9.4</v>
      </c>
      <c r="O93" s="157">
        <v>58.3</v>
      </c>
      <c r="P93" s="158">
        <v>0.12</v>
      </c>
      <c r="Q93" s="152">
        <v>54</v>
      </c>
      <c r="R93" s="152">
        <v>0</v>
      </c>
      <c r="S93" s="152">
        <v>0</v>
      </c>
      <c r="T93" s="152">
        <v>0</v>
      </c>
    </row>
    <row r="94" spans="1:20" ht="24" customHeight="1" x14ac:dyDescent="0.25">
      <c r="A94" s="105" t="s">
        <v>99</v>
      </c>
      <c r="B94" s="107" t="s">
        <v>64</v>
      </c>
      <c r="C94" s="109">
        <v>100</v>
      </c>
      <c r="D94" s="109">
        <v>0.48</v>
      </c>
      <c r="E94" s="109">
        <v>0.48</v>
      </c>
      <c r="F94" s="109">
        <v>11.86</v>
      </c>
      <c r="G94" s="2">
        <f t="shared" ref="G94" si="34">(9*E94)+4*(F94+D94)</f>
        <v>53.68</v>
      </c>
      <c r="H94" s="114">
        <v>0.03</v>
      </c>
      <c r="I94" s="114">
        <v>10</v>
      </c>
      <c r="J94" s="114">
        <v>0.03</v>
      </c>
      <c r="K94" s="114">
        <v>0.02</v>
      </c>
      <c r="L94" s="114">
        <v>0</v>
      </c>
      <c r="M94" s="114">
        <v>9.5</v>
      </c>
      <c r="N94" s="114">
        <v>7</v>
      </c>
      <c r="O94" s="114">
        <v>9.5</v>
      </c>
      <c r="P94" s="111">
        <v>1.2</v>
      </c>
      <c r="Q94" s="102">
        <v>0.4</v>
      </c>
      <c r="R94" s="102">
        <v>1.7000000000000001E-2</v>
      </c>
      <c r="S94" s="102">
        <v>0</v>
      </c>
      <c r="T94" s="102">
        <v>0.5</v>
      </c>
    </row>
    <row r="95" spans="1:20" ht="24" customHeight="1" x14ac:dyDescent="0.25">
      <c r="A95" s="244" t="s">
        <v>18</v>
      </c>
      <c r="B95" s="245"/>
      <c r="C95" s="101">
        <v>360</v>
      </c>
      <c r="D95" s="4">
        <f>SUM(D92:D94)</f>
        <v>6.9</v>
      </c>
      <c r="E95" s="4">
        <f t="shared" ref="E95:G95" si="35">SUM(E92:E94)</f>
        <v>10.08</v>
      </c>
      <c r="F95" s="4">
        <f t="shared" si="35"/>
        <v>53.53</v>
      </c>
      <c r="G95" s="4">
        <f t="shared" si="35"/>
        <v>352.38</v>
      </c>
      <c r="H95" s="38">
        <f>SUM(H92:H94)</f>
        <v>0.192</v>
      </c>
      <c r="I95" s="38">
        <f t="shared" ref="I95:T95" si="36">SUM(I92:I94)</f>
        <v>12.73</v>
      </c>
      <c r="J95" s="38">
        <f t="shared" si="36"/>
        <v>74.53</v>
      </c>
      <c r="K95" s="38">
        <f t="shared" si="36"/>
        <v>0.36000000000000004</v>
      </c>
      <c r="L95" s="38">
        <f t="shared" si="36"/>
        <v>1.41</v>
      </c>
      <c r="M95" s="38">
        <f t="shared" si="36"/>
        <v>231.10000000000002</v>
      </c>
      <c r="N95" s="38">
        <f t="shared" si="36"/>
        <v>28.8</v>
      </c>
      <c r="O95" s="38">
        <f>SUM(O92:O94)</f>
        <v>171.8</v>
      </c>
      <c r="P95" s="38">
        <f t="shared" si="36"/>
        <v>1.47</v>
      </c>
      <c r="Q95" s="38">
        <f t="shared" si="36"/>
        <v>164.4</v>
      </c>
      <c r="R95" s="38">
        <f t="shared" si="36"/>
        <v>1.7000000000000001E-2</v>
      </c>
      <c r="S95" s="38">
        <f t="shared" si="36"/>
        <v>0</v>
      </c>
      <c r="T95" s="38">
        <f t="shared" si="36"/>
        <v>0.5</v>
      </c>
    </row>
    <row r="96" spans="1:20" ht="24" customHeight="1" x14ac:dyDescent="0.25">
      <c r="A96" s="225" t="s">
        <v>20</v>
      </c>
      <c r="B96" s="226"/>
      <c r="C96" s="143">
        <f>+C81+C90+C95</f>
        <v>1575</v>
      </c>
      <c r="D96" s="4">
        <f>D95+D90+D81</f>
        <v>62.95</v>
      </c>
      <c r="E96" s="9">
        <f>E95+E90+E81</f>
        <v>64.299999999999983</v>
      </c>
      <c r="F96" s="9">
        <f>F95+F90+F81</f>
        <v>263.38499999999999</v>
      </c>
      <c r="G96" s="9">
        <f>G95+G90+G81</f>
        <v>1784.4299999999998</v>
      </c>
      <c r="H96" s="38">
        <f t="shared" ref="H96:T96" si="37">H95+H90+H81</f>
        <v>0.9820000000000001</v>
      </c>
      <c r="I96" s="38">
        <f t="shared" si="37"/>
        <v>47.470000000000006</v>
      </c>
      <c r="J96" s="38">
        <f t="shared" si="37"/>
        <v>552.79999999999995</v>
      </c>
      <c r="K96" s="38">
        <f>K95+K90+K81</f>
        <v>1.046</v>
      </c>
      <c r="L96" s="38">
        <f>L95+L90+L81</f>
        <v>7.9020000000000001</v>
      </c>
      <c r="M96" s="38">
        <f t="shared" si="37"/>
        <v>867.08999999999992</v>
      </c>
      <c r="N96" s="38">
        <f t="shared" si="37"/>
        <v>197.69</v>
      </c>
      <c r="O96" s="38">
        <f t="shared" si="37"/>
        <v>867.95</v>
      </c>
      <c r="P96" s="77">
        <f t="shared" si="37"/>
        <v>9.3600000000000012</v>
      </c>
      <c r="Q96" s="77">
        <f t="shared" si="37"/>
        <v>866.66</v>
      </c>
      <c r="R96" s="77">
        <f t="shared" si="37"/>
        <v>7.9300000000000009E-2</v>
      </c>
      <c r="S96" s="77">
        <f t="shared" si="37"/>
        <v>2.6000000000000002E-2</v>
      </c>
      <c r="T96" s="38">
        <f t="shared" si="37"/>
        <v>3.2</v>
      </c>
    </row>
    <row r="97" spans="1:20" ht="24" customHeight="1" x14ac:dyDescent="0.25">
      <c r="A97" s="234" t="s">
        <v>21</v>
      </c>
      <c r="B97" s="270"/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  <c r="O97" s="270"/>
      <c r="P97" s="270"/>
      <c r="Q97" s="221"/>
      <c r="R97" s="221"/>
      <c r="S97" s="221"/>
      <c r="T97" s="222"/>
    </row>
    <row r="98" spans="1:20" ht="24" customHeight="1" x14ac:dyDescent="0.25">
      <c r="A98" s="229" t="s">
        <v>17</v>
      </c>
      <c r="B98" s="230"/>
      <c r="C98" s="230"/>
      <c r="D98" s="230"/>
      <c r="E98" s="230"/>
      <c r="F98" s="230"/>
      <c r="G98" s="230"/>
      <c r="H98" s="230"/>
      <c r="I98" s="230"/>
      <c r="J98" s="230"/>
      <c r="K98" s="230"/>
      <c r="L98" s="230"/>
      <c r="M98" s="230"/>
      <c r="N98" s="230"/>
      <c r="O98" s="230"/>
      <c r="P98" s="230"/>
      <c r="Q98" s="221"/>
      <c r="R98" s="221"/>
      <c r="S98" s="221"/>
      <c r="T98" s="222"/>
    </row>
    <row r="99" spans="1:20" ht="15.75" x14ac:dyDescent="0.25">
      <c r="A99" s="47" t="s">
        <v>197</v>
      </c>
      <c r="B99" s="180" t="s">
        <v>198</v>
      </c>
      <c r="C99" s="175">
        <v>90</v>
      </c>
      <c r="D99" s="181">
        <v>9.8000000000000007</v>
      </c>
      <c r="E99" s="181">
        <v>14.2</v>
      </c>
      <c r="F99" s="181">
        <v>8.67</v>
      </c>
      <c r="G99" s="182">
        <f>168.46*0.9</f>
        <v>151.614</v>
      </c>
      <c r="H99" s="175">
        <v>0.12</v>
      </c>
      <c r="I99" s="175">
        <v>11</v>
      </c>
      <c r="J99" s="175">
        <v>86.1</v>
      </c>
      <c r="K99" s="175">
        <v>0.122</v>
      </c>
      <c r="L99" s="175">
        <v>1.1000000000000001</v>
      </c>
      <c r="M99" s="175">
        <v>141.24</v>
      </c>
      <c r="N99" s="175">
        <v>18.760000000000002</v>
      </c>
      <c r="O99" s="175">
        <v>44.78</v>
      </c>
      <c r="P99" s="177">
        <v>0.16</v>
      </c>
      <c r="Q99" s="178">
        <v>88</v>
      </c>
      <c r="R99" s="178">
        <v>1E-3</v>
      </c>
      <c r="S99" s="178">
        <v>0</v>
      </c>
      <c r="T99" s="178">
        <v>0.3</v>
      </c>
    </row>
    <row r="100" spans="1:20" ht="24" customHeight="1" x14ac:dyDescent="0.25">
      <c r="A100" s="154" t="s">
        <v>131</v>
      </c>
      <c r="B100" s="30" t="s">
        <v>24</v>
      </c>
      <c r="C100" s="157">
        <v>150</v>
      </c>
      <c r="D100" s="157">
        <v>6.3</v>
      </c>
      <c r="E100" s="157">
        <v>5.7</v>
      </c>
      <c r="F100" s="157">
        <v>34.299999999999997</v>
      </c>
      <c r="G100" s="11">
        <f t="shared" ref="G100:G103" si="38">(9*E100)+4*(F100+D100)</f>
        <v>213.7</v>
      </c>
      <c r="H100" s="157">
        <v>0.03</v>
      </c>
      <c r="I100" s="157">
        <v>3</v>
      </c>
      <c r="J100" s="157">
        <v>78</v>
      </c>
      <c r="K100" s="157">
        <v>8.5999999999999993E-2</v>
      </c>
      <c r="L100" s="157">
        <v>0.5</v>
      </c>
      <c r="M100" s="157">
        <v>93</v>
      </c>
      <c r="N100" s="157">
        <v>12</v>
      </c>
      <c r="O100" s="157">
        <v>11</v>
      </c>
      <c r="P100" s="158">
        <v>0.6</v>
      </c>
      <c r="Q100" s="152">
        <v>70.61</v>
      </c>
      <c r="R100" s="152">
        <v>3.0000000000000001E-3</v>
      </c>
      <c r="S100" s="152">
        <v>0</v>
      </c>
      <c r="T100" s="152">
        <v>0.01</v>
      </c>
    </row>
    <row r="101" spans="1:20" ht="25.5" x14ac:dyDescent="0.25">
      <c r="A101" s="153" t="s">
        <v>165</v>
      </c>
      <c r="B101" s="36" t="s">
        <v>199</v>
      </c>
      <c r="C101" s="157">
        <v>125</v>
      </c>
      <c r="D101" s="157">
        <v>0</v>
      </c>
      <c r="E101" s="157">
        <v>0</v>
      </c>
      <c r="F101" s="157">
        <f>14*1.2</f>
        <v>16.8</v>
      </c>
      <c r="G101" s="2">
        <f>55*1.2</f>
        <v>66</v>
      </c>
      <c r="H101" s="161">
        <v>0.02</v>
      </c>
      <c r="I101" s="161">
        <v>0</v>
      </c>
      <c r="J101" s="161">
        <v>62.4</v>
      </c>
      <c r="K101" s="161">
        <v>0.14000000000000001</v>
      </c>
      <c r="L101" s="161">
        <v>0.88</v>
      </c>
      <c r="M101" s="161">
        <v>29.36</v>
      </c>
      <c r="N101" s="161">
        <v>4.18</v>
      </c>
      <c r="O101" s="161">
        <v>66.81</v>
      </c>
      <c r="P101" s="159">
        <v>0.87</v>
      </c>
      <c r="Q101" s="152">
        <v>46.48</v>
      </c>
      <c r="R101" s="152">
        <v>7.0000000000000001E-3</v>
      </c>
      <c r="S101" s="152">
        <v>1E-3</v>
      </c>
      <c r="T101" s="152">
        <v>0.19</v>
      </c>
    </row>
    <row r="102" spans="1:20" ht="24" customHeight="1" x14ac:dyDescent="0.25">
      <c r="A102" s="48" t="s">
        <v>93</v>
      </c>
      <c r="B102" s="19" t="s">
        <v>25</v>
      </c>
      <c r="C102" s="21">
        <v>25</v>
      </c>
      <c r="D102" s="21">
        <v>3.04</v>
      </c>
      <c r="E102" s="21">
        <v>0.32</v>
      </c>
      <c r="F102" s="21">
        <v>20.059999999999999</v>
      </c>
      <c r="G102" s="11">
        <f>(9*E102)+4*(F102+D102)</f>
        <v>95.279999999999987</v>
      </c>
      <c r="H102" s="157">
        <v>0.104</v>
      </c>
      <c r="I102" s="157">
        <v>0.8</v>
      </c>
      <c r="J102" s="157">
        <v>0</v>
      </c>
      <c r="K102" s="157">
        <v>0</v>
      </c>
      <c r="L102" s="157">
        <v>0</v>
      </c>
      <c r="M102" s="157">
        <v>10.16</v>
      </c>
      <c r="N102" s="157">
        <v>18.12</v>
      </c>
      <c r="O102" s="157">
        <v>72.16</v>
      </c>
      <c r="P102" s="158">
        <v>0.88</v>
      </c>
      <c r="Q102" s="152">
        <v>37.200000000000003</v>
      </c>
      <c r="R102" s="152">
        <v>1.2E-2</v>
      </c>
      <c r="S102" s="152">
        <v>2E-3</v>
      </c>
      <c r="T102" s="152">
        <v>0</v>
      </c>
    </row>
    <row r="103" spans="1:20" ht="24" customHeight="1" x14ac:dyDescent="0.25">
      <c r="A103" s="154" t="s">
        <v>115</v>
      </c>
      <c r="B103" s="155" t="s">
        <v>30</v>
      </c>
      <c r="C103" s="157" t="s">
        <v>135</v>
      </c>
      <c r="D103" s="157">
        <v>0.04</v>
      </c>
      <c r="E103" s="157">
        <v>0</v>
      </c>
      <c r="F103" s="157">
        <v>10.119999999999999</v>
      </c>
      <c r="G103" s="11">
        <f t="shared" si="38"/>
        <v>40.639999999999993</v>
      </c>
      <c r="H103" s="157">
        <v>0.06</v>
      </c>
      <c r="I103" s="157">
        <v>0</v>
      </c>
      <c r="J103" s="157">
        <v>0</v>
      </c>
      <c r="K103" s="157">
        <v>0</v>
      </c>
      <c r="L103" s="157">
        <v>0</v>
      </c>
      <c r="M103" s="157">
        <v>10.16</v>
      </c>
      <c r="N103" s="157">
        <v>9.92</v>
      </c>
      <c r="O103" s="157">
        <v>80</v>
      </c>
      <c r="P103" s="158">
        <v>0.8</v>
      </c>
      <c r="Q103" s="152">
        <v>34</v>
      </c>
      <c r="R103" s="152">
        <v>0</v>
      </c>
      <c r="S103" s="152">
        <v>0</v>
      </c>
      <c r="T103" s="152">
        <v>0.2</v>
      </c>
    </row>
    <row r="104" spans="1:20" ht="24" customHeight="1" x14ac:dyDescent="0.25">
      <c r="A104" s="225" t="s">
        <v>18</v>
      </c>
      <c r="B104" s="243"/>
      <c r="C104" s="101">
        <f>SUM(C99:C102)+215</f>
        <v>605</v>
      </c>
      <c r="D104" s="4">
        <f>SUM(D99:D103)</f>
        <v>19.18</v>
      </c>
      <c r="E104" s="4">
        <f>SUM(E99:E103)</f>
        <v>20.22</v>
      </c>
      <c r="F104" s="9">
        <f>SUM(F99:F103)</f>
        <v>89.95</v>
      </c>
      <c r="G104" s="9">
        <f>SUM(G99:G103)</f>
        <v>567.23399999999992</v>
      </c>
      <c r="H104" s="5">
        <f t="shared" ref="H104:T104" si="39">SUM(H99:H103)</f>
        <v>0.33399999999999996</v>
      </c>
      <c r="I104" s="5">
        <f t="shared" si="39"/>
        <v>14.8</v>
      </c>
      <c r="J104" s="5">
        <f t="shared" si="39"/>
        <v>226.5</v>
      </c>
      <c r="K104" s="5">
        <f t="shared" si="39"/>
        <v>0.34799999999999998</v>
      </c>
      <c r="L104" s="5">
        <f t="shared" si="39"/>
        <v>2.48</v>
      </c>
      <c r="M104" s="5">
        <f>SUM(M99:M103)</f>
        <v>283.92000000000007</v>
      </c>
      <c r="N104" s="5">
        <f t="shared" si="39"/>
        <v>62.980000000000004</v>
      </c>
      <c r="O104" s="5">
        <f t="shared" si="39"/>
        <v>274.75</v>
      </c>
      <c r="P104" s="73">
        <f t="shared" si="39"/>
        <v>3.3099999999999996</v>
      </c>
      <c r="Q104" s="73">
        <f t="shared" si="39"/>
        <v>276.29000000000002</v>
      </c>
      <c r="R104" s="73">
        <f t="shared" si="39"/>
        <v>2.3E-2</v>
      </c>
      <c r="S104" s="73">
        <f t="shared" si="39"/>
        <v>3.0000000000000001E-3</v>
      </c>
      <c r="T104" s="5">
        <f t="shared" si="39"/>
        <v>0.7</v>
      </c>
    </row>
    <row r="105" spans="1:20" ht="24" customHeight="1" x14ac:dyDescent="0.25">
      <c r="A105" s="229" t="s">
        <v>19</v>
      </c>
      <c r="B105" s="230"/>
      <c r="C105" s="230"/>
      <c r="D105" s="230"/>
      <c r="E105" s="230"/>
      <c r="F105" s="230"/>
      <c r="G105" s="230"/>
      <c r="H105" s="230"/>
      <c r="I105" s="230"/>
      <c r="J105" s="230"/>
      <c r="K105" s="230"/>
      <c r="L105" s="230"/>
      <c r="M105" s="230"/>
      <c r="N105" s="230"/>
      <c r="O105" s="230"/>
      <c r="P105" s="230"/>
      <c r="Q105" s="221"/>
      <c r="R105" s="221"/>
      <c r="S105" s="221"/>
      <c r="T105" s="222"/>
    </row>
    <row r="106" spans="1:20" ht="37.15" customHeight="1" x14ac:dyDescent="0.25">
      <c r="A106" s="154" t="s">
        <v>120</v>
      </c>
      <c r="B106" s="155" t="s">
        <v>137</v>
      </c>
      <c r="C106" s="157" t="s">
        <v>38</v>
      </c>
      <c r="D106" s="157">
        <v>8.15</v>
      </c>
      <c r="E106" s="157">
        <v>9.4</v>
      </c>
      <c r="F106" s="157">
        <v>19.38</v>
      </c>
      <c r="G106" s="11">
        <f>49.6*2.75</f>
        <v>136.4</v>
      </c>
      <c r="H106" s="157">
        <v>1.2E-2</v>
      </c>
      <c r="I106" s="157">
        <v>7.6</v>
      </c>
      <c r="J106" s="157">
        <v>72.400000000000006</v>
      </c>
      <c r="K106" s="157">
        <v>0.2</v>
      </c>
      <c r="L106" s="157">
        <v>0.6</v>
      </c>
      <c r="M106" s="157">
        <v>112.44</v>
      </c>
      <c r="N106" s="157">
        <v>22.4</v>
      </c>
      <c r="O106" s="157">
        <v>102</v>
      </c>
      <c r="P106" s="158">
        <v>1.363</v>
      </c>
      <c r="Q106" s="152">
        <v>101.3</v>
      </c>
      <c r="R106" s="152">
        <v>2E-3</v>
      </c>
      <c r="S106" s="152">
        <v>5.0000000000000001E-4</v>
      </c>
      <c r="T106" s="152">
        <v>0.6</v>
      </c>
    </row>
    <row r="107" spans="1:20" ht="31.5" customHeight="1" x14ac:dyDescent="0.25">
      <c r="A107" s="50" t="s">
        <v>200</v>
      </c>
      <c r="B107" s="155" t="s">
        <v>201</v>
      </c>
      <c r="C107" s="157">
        <v>90</v>
      </c>
      <c r="D107" s="150">
        <v>10.3</v>
      </c>
      <c r="E107" s="150">
        <v>9.68</v>
      </c>
      <c r="F107" s="150">
        <v>11.03</v>
      </c>
      <c r="G107" s="157">
        <f>F107*4+E107*9+D107*4</f>
        <v>172.44</v>
      </c>
      <c r="H107" s="150">
        <v>0.1</v>
      </c>
      <c r="I107" s="150">
        <v>2.2000000000000002</v>
      </c>
      <c r="J107" s="150">
        <v>36.4</v>
      </c>
      <c r="K107" s="150">
        <v>0.17499999999999999</v>
      </c>
      <c r="L107" s="150">
        <v>0</v>
      </c>
      <c r="M107" s="150">
        <v>107.9</v>
      </c>
      <c r="N107" s="150">
        <v>20.100000000000001</v>
      </c>
      <c r="O107" s="150">
        <v>95.1</v>
      </c>
      <c r="P107" s="149">
        <v>0.43</v>
      </c>
      <c r="Q107" s="152">
        <v>41</v>
      </c>
      <c r="R107" s="152">
        <v>0</v>
      </c>
      <c r="S107" s="152">
        <v>2.9999999999999997E-4</v>
      </c>
      <c r="T107" s="152">
        <v>0</v>
      </c>
    </row>
    <row r="108" spans="1:20" ht="31.5" customHeight="1" x14ac:dyDescent="0.25">
      <c r="A108" s="50" t="s">
        <v>203</v>
      </c>
      <c r="B108" s="155" t="s">
        <v>202</v>
      </c>
      <c r="C108" s="157">
        <v>150</v>
      </c>
      <c r="D108" s="150">
        <v>2.1</v>
      </c>
      <c r="E108" s="150">
        <v>7.8</v>
      </c>
      <c r="F108" s="150">
        <v>51.47</v>
      </c>
      <c r="G108" s="157">
        <f>F108*4+E108*9+D108*4</f>
        <v>284.47999999999996</v>
      </c>
      <c r="H108" s="150">
        <v>0.18</v>
      </c>
      <c r="I108" s="150">
        <v>6.8</v>
      </c>
      <c r="J108" s="150">
        <v>110.9</v>
      </c>
      <c r="K108" s="150">
        <v>0.17</v>
      </c>
      <c r="L108" s="150">
        <v>3.3</v>
      </c>
      <c r="M108" s="150">
        <v>143.4</v>
      </c>
      <c r="N108" s="150">
        <v>14.3</v>
      </c>
      <c r="O108" s="150">
        <v>79.3</v>
      </c>
      <c r="P108" s="149">
        <v>0</v>
      </c>
      <c r="Q108" s="152">
        <v>50.88</v>
      </c>
      <c r="R108" s="152">
        <v>1.4999999999999999E-2</v>
      </c>
      <c r="S108" s="152">
        <v>7.0000000000000001E-3</v>
      </c>
      <c r="T108" s="152">
        <v>0.03</v>
      </c>
    </row>
    <row r="109" spans="1:20" ht="34.5" customHeight="1" x14ac:dyDescent="0.25">
      <c r="A109" s="48" t="s">
        <v>157</v>
      </c>
      <c r="B109" s="30" t="s">
        <v>161</v>
      </c>
      <c r="C109" s="102">
        <v>60</v>
      </c>
      <c r="D109" s="102">
        <v>0.1</v>
      </c>
      <c r="E109" s="102">
        <v>2.7</v>
      </c>
      <c r="F109" s="102">
        <v>5.65</v>
      </c>
      <c r="G109" s="109">
        <f>D109*4+E109*9+F109*4</f>
        <v>47.3</v>
      </c>
      <c r="H109" s="6">
        <v>0.03</v>
      </c>
      <c r="I109" s="6">
        <v>4.5</v>
      </c>
      <c r="J109" s="6">
        <v>26</v>
      </c>
      <c r="K109" s="6">
        <v>8.8999999999999996E-2</v>
      </c>
      <c r="L109" s="6">
        <v>0</v>
      </c>
      <c r="M109" s="6">
        <v>46.8</v>
      </c>
      <c r="N109" s="6">
        <v>13.3</v>
      </c>
      <c r="O109" s="6">
        <v>47.01</v>
      </c>
      <c r="P109" s="40">
        <v>0.56999999999999995</v>
      </c>
      <c r="Q109" s="102">
        <v>62</v>
      </c>
      <c r="R109" s="102">
        <v>3.0000000000000001E-3</v>
      </c>
      <c r="S109" s="102">
        <v>2.9999999999999997E-4</v>
      </c>
      <c r="T109" s="102">
        <v>0.13</v>
      </c>
    </row>
    <row r="110" spans="1:20" ht="33.75" customHeight="1" x14ac:dyDescent="0.25">
      <c r="A110" s="106" t="s">
        <v>117</v>
      </c>
      <c r="B110" s="107" t="s">
        <v>68</v>
      </c>
      <c r="C110" s="109">
        <v>200</v>
      </c>
      <c r="D110" s="99">
        <v>0.16</v>
      </c>
      <c r="E110" s="99">
        <v>0.16</v>
      </c>
      <c r="F110" s="99">
        <v>15.9</v>
      </c>
      <c r="G110" s="11">
        <f t="shared" ref="G110:G111" si="40">(9*E110)+4*(F110+D110)</f>
        <v>65.679999999999993</v>
      </c>
      <c r="H110" s="109">
        <v>0</v>
      </c>
      <c r="I110" s="109">
        <v>0.1</v>
      </c>
      <c r="J110" s="109">
        <v>0</v>
      </c>
      <c r="K110" s="109">
        <v>0</v>
      </c>
      <c r="L110" s="109">
        <v>0</v>
      </c>
      <c r="M110" s="109">
        <v>5.25</v>
      </c>
      <c r="N110" s="109">
        <v>4.4000000000000004</v>
      </c>
      <c r="O110" s="109">
        <v>8.24</v>
      </c>
      <c r="P110" s="110">
        <v>0.86</v>
      </c>
      <c r="Q110" s="102">
        <v>96</v>
      </c>
      <c r="R110" s="102">
        <v>4.0000000000000001E-3</v>
      </c>
      <c r="S110" s="102">
        <v>0</v>
      </c>
      <c r="T110" s="102">
        <v>0.25</v>
      </c>
    </row>
    <row r="111" spans="1:20" ht="24" customHeight="1" x14ac:dyDescent="0.25">
      <c r="A111" s="48" t="s">
        <v>93</v>
      </c>
      <c r="B111" s="19" t="s">
        <v>25</v>
      </c>
      <c r="C111" s="21">
        <v>25</v>
      </c>
      <c r="D111" s="21">
        <v>1.52</v>
      </c>
      <c r="E111" s="21">
        <v>0.16</v>
      </c>
      <c r="F111" s="21">
        <v>9.98</v>
      </c>
      <c r="G111" s="11">
        <f t="shared" si="40"/>
        <v>47.44</v>
      </c>
      <c r="H111" s="21">
        <v>0.08</v>
      </c>
      <c r="I111" s="21">
        <v>0.04</v>
      </c>
      <c r="J111" s="21">
        <v>0</v>
      </c>
      <c r="K111" s="21">
        <v>0</v>
      </c>
      <c r="L111" s="21">
        <v>0</v>
      </c>
      <c r="M111" s="21">
        <v>15</v>
      </c>
      <c r="N111" s="21">
        <v>8.1999999999999993</v>
      </c>
      <c r="O111" s="21">
        <v>13</v>
      </c>
      <c r="P111" s="72">
        <v>0.72</v>
      </c>
      <c r="Q111" s="102">
        <v>18.2</v>
      </c>
      <c r="R111" s="102">
        <v>6.0000000000000001E-3</v>
      </c>
      <c r="S111" s="102">
        <v>1E-3</v>
      </c>
      <c r="T111" s="102">
        <v>0</v>
      </c>
    </row>
    <row r="112" spans="1:20" ht="24" customHeight="1" x14ac:dyDescent="0.25">
      <c r="A112" s="48" t="s">
        <v>94</v>
      </c>
      <c r="B112" s="3" t="s">
        <v>27</v>
      </c>
      <c r="C112" s="109">
        <v>25</v>
      </c>
      <c r="D112" s="109">
        <v>1.32</v>
      </c>
      <c r="E112" s="109">
        <v>0.24</v>
      </c>
      <c r="F112" s="109">
        <v>8.36</v>
      </c>
      <c r="G112" s="109">
        <f>(9*E112)+4*(F112+D112)</f>
        <v>40.879999999999995</v>
      </c>
      <c r="H112" s="109">
        <v>0.03</v>
      </c>
      <c r="I112" s="109">
        <v>0</v>
      </c>
      <c r="J112" s="109">
        <v>0</v>
      </c>
      <c r="K112" s="109">
        <v>0</v>
      </c>
      <c r="L112" s="109">
        <v>0</v>
      </c>
      <c r="M112" s="109">
        <v>5.08</v>
      </c>
      <c r="N112" s="109">
        <v>4.96</v>
      </c>
      <c r="O112" s="109">
        <v>40</v>
      </c>
      <c r="P112" s="110">
        <v>0.4</v>
      </c>
      <c r="Q112" s="102">
        <v>16.2</v>
      </c>
      <c r="R112" s="102">
        <v>6.0000000000000001E-3</v>
      </c>
      <c r="S112" s="102">
        <v>1E-3</v>
      </c>
      <c r="T112" s="102">
        <v>0</v>
      </c>
    </row>
    <row r="113" spans="1:20" ht="24" customHeight="1" x14ac:dyDescent="0.25">
      <c r="A113" s="225" t="s">
        <v>18</v>
      </c>
      <c r="B113" s="266"/>
      <c r="C113" s="101">
        <v>825</v>
      </c>
      <c r="D113" s="4">
        <f>SUM(D106:D112)</f>
        <v>23.650000000000006</v>
      </c>
      <c r="E113" s="4">
        <f t="shared" ref="E113:T113" si="41">SUM(E106:E112)</f>
        <v>30.139999999999997</v>
      </c>
      <c r="F113" s="4">
        <f t="shared" si="41"/>
        <v>121.77000000000001</v>
      </c>
      <c r="G113" s="4">
        <f t="shared" si="41"/>
        <v>794.61999999999978</v>
      </c>
      <c r="H113" s="160">
        <f t="shared" si="41"/>
        <v>0.43199999999999994</v>
      </c>
      <c r="I113" s="160">
        <f t="shared" si="41"/>
        <v>21.240000000000002</v>
      </c>
      <c r="J113" s="160">
        <f t="shared" si="41"/>
        <v>245.70000000000002</v>
      </c>
      <c r="K113" s="160">
        <f t="shared" si="41"/>
        <v>0.63400000000000001</v>
      </c>
      <c r="L113" s="160">
        <f t="shared" si="41"/>
        <v>3.9</v>
      </c>
      <c r="M113" s="160">
        <f t="shared" si="41"/>
        <v>435.87</v>
      </c>
      <c r="N113" s="160">
        <f t="shared" si="41"/>
        <v>87.66</v>
      </c>
      <c r="O113" s="160">
        <f t="shared" si="41"/>
        <v>384.65</v>
      </c>
      <c r="P113" s="160">
        <f t="shared" si="41"/>
        <v>4.343</v>
      </c>
      <c r="Q113" s="160">
        <f t="shared" si="41"/>
        <v>385.58</v>
      </c>
      <c r="R113" s="160">
        <f t="shared" si="41"/>
        <v>3.5999999999999997E-2</v>
      </c>
      <c r="S113" s="160">
        <f t="shared" si="41"/>
        <v>1.0100000000000001E-2</v>
      </c>
      <c r="T113" s="160">
        <f t="shared" si="41"/>
        <v>1.01</v>
      </c>
    </row>
    <row r="114" spans="1:20" ht="24" customHeight="1" x14ac:dyDescent="0.25">
      <c r="A114" s="229" t="s">
        <v>40</v>
      </c>
      <c r="B114" s="230"/>
      <c r="C114" s="230"/>
      <c r="D114" s="230"/>
      <c r="E114" s="230"/>
      <c r="F114" s="230"/>
      <c r="G114" s="230"/>
      <c r="H114" s="230"/>
      <c r="I114" s="230"/>
      <c r="J114" s="230"/>
      <c r="K114" s="230"/>
      <c r="L114" s="230"/>
      <c r="M114" s="230"/>
      <c r="N114" s="230"/>
      <c r="O114" s="230"/>
      <c r="P114" s="230"/>
      <c r="Q114" s="221"/>
      <c r="R114" s="221"/>
      <c r="S114" s="221"/>
      <c r="T114" s="222"/>
    </row>
    <row r="115" spans="1:20" ht="33.6" customHeight="1" x14ac:dyDescent="0.25">
      <c r="A115" s="154" t="s">
        <v>75</v>
      </c>
      <c r="B115" s="155" t="s">
        <v>160</v>
      </c>
      <c r="C115" s="157" t="s">
        <v>56</v>
      </c>
      <c r="D115" s="157">
        <v>0</v>
      </c>
      <c r="E115" s="157">
        <v>0</v>
      </c>
      <c r="F115" s="157">
        <f>4.8*2.1</f>
        <v>10.08</v>
      </c>
      <c r="G115" s="157">
        <f>19+2.1</f>
        <v>21.1</v>
      </c>
      <c r="H115" s="157">
        <v>0</v>
      </c>
      <c r="I115" s="157">
        <v>0</v>
      </c>
      <c r="J115" s="157">
        <v>0</v>
      </c>
      <c r="K115" s="157">
        <v>0</v>
      </c>
      <c r="L115" s="157">
        <v>0</v>
      </c>
      <c r="M115" s="157">
        <v>12</v>
      </c>
      <c r="N115" s="157">
        <v>6</v>
      </c>
      <c r="O115" s="157">
        <v>8.24</v>
      </c>
      <c r="P115" s="158">
        <v>0.86</v>
      </c>
      <c r="Q115" s="152">
        <v>24</v>
      </c>
      <c r="R115" s="152">
        <v>0</v>
      </c>
      <c r="S115" s="152">
        <v>0</v>
      </c>
      <c r="T115" s="152">
        <v>0.2</v>
      </c>
    </row>
    <row r="116" spans="1:20" ht="24" customHeight="1" x14ac:dyDescent="0.25">
      <c r="A116" s="48" t="s">
        <v>96</v>
      </c>
      <c r="B116" s="155" t="s">
        <v>67</v>
      </c>
      <c r="C116" s="157">
        <v>50</v>
      </c>
      <c r="D116" s="157">
        <v>11.9</v>
      </c>
      <c r="E116" s="157">
        <v>7.4</v>
      </c>
      <c r="F116" s="157">
        <v>37.200000000000003</v>
      </c>
      <c r="G116" s="157">
        <v>289.10000000000002</v>
      </c>
      <c r="H116" s="157">
        <v>0.12</v>
      </c>
      <c r="I116" s="157">
        <v>0.4</v>
      </c>
      <c r="J116" s="157">
        <v>102.7</v>
      </c>
      <c r="K116" s="157">
        <v>0.2</v>
      </c>
      <c r="L116" s="157">
        <v>1.8</v>
      </c>
      <c r="M116" s="157">
        <v>143.69999999999999</v>
      </c>
      <c r="N116" s="157">
        <v>23.6</v>
      </c>
      <c r="O116" s="157">
        <v>148.4</v>
      </c>
      <c r="P116" s="157">
        <v>1E-3</v>
      </c>
      <c r="Q116" s="152">
        <v>136.19999999999999</v>
      </c>
      <c r="R116" s="152">
        <v>0</v>
      </c>
      <c r="S116" s="152">
        <v>0.01</v>
      </c>
      <c r="T116" s="152">
        <v>0.3</v>
      </c>
    </row>
    <row r="117" spans="1:20" ht="24" customHeight="1" x14ac:dyDescent="0.25">
      <c r="A117" s="47"/>
      <c r="B117" s="18" t="s">
        <v>184</v>
      </c>
      <c r="C117" s="150">
        <v>65</v>
      </c>
      <c r="D117" s="150">
        <v>2.9</v>
      </c>
      <c r="E117" s="150">
        <v>2.1</v>
      </c>
      <c r="F117" s="150">
        <v>11.34</v>
      </c>
      <c r="G117" s="157">
        <f>(9*E117)+4*(F117+D117)</f>
        <v>75.86</v>
      </c>
      <c r="H117" s="161">
        <v>0.03</v>
      </c>
      <c r="I117" s="161">
        <v>10</v>
      </c>
      <c r="J117" s="161">
        <v>0.03</v>
      </c>
      <c r="K117" s="161">
        <v>0.02</v>
      </c>
      <c r="L117" s="161">
        <v>0</v>
      </c>
      <c r="M117" s="161">
        <v>9.5</v>
      </c>
      <c r="N117" s="161">
        <v>7</v>
      </c>
      <c r="O117" s="161">
        <v>9.5</v>
      </c>
      <c r="P117" s="159">
        <v>1.2</v>
      </c>
      <c r="Q117" s="152">
        <v>0.4</v>
      </c>
      <c r="R117" s="152">
        <v>1.7000000000000001E-2</v>
      </c>
      <c r="S117" s="152">
        <v>0</v>
      </c>
      <c r="T117" s="152">
        <v>0.06</v>
      </c>
    </row>
    <row r="118" spans="1:20" ht="24" customHeight="1" x14ac:dyDescent="0.25">
      <c r="A118" s="244" t="s">
        <v>18</v>
      </c>
      <c r="B118" s="245"/>
      <c r="C118" s="101">
        <v>325</v>
      </c>
      <c r="D118" s="101">
        <f>SUM(D115:D117)</f>
        <v>14.8</v>
      </c>
      <c r="E118" s="101">
        <f>SUM(E115:E117)</f>
        <v>9.5</v>
      </c>
      <c r="F118" s="101">
        <f>SUM(F115:F117)</f>
        <v>58.620000000000005</v>
      </c>
      <c r="G118" s="101">
        <f>SUM(G115:G117)</f>
        <v>386.06000000000006</v>
      </c>
      <c r="H118" s="101">
        <f t="shared" ref="H118:T118" si="42">SUM(H115:H117)</f>
        <v>0.15</v>
      </c>
      <c r="I118" s="101">
        <f t="shared" si="42"/>
        <v>10.4</v>
      </c>
      <c r="J118" s="101">
        <f t="shared" si="42"/>
        <v>102.73</v>
      </c>
      <c r="K118" s="101">
        <f t="shared" si="42"/>
        <v>0.22</v>
      </c>
      <c r="L118" s="101">
        <f t="shared" si="42"/>
        <v>1.8</v>
      </c>
      <c r="M118" s="101">
        <f t="shared" si="42"/>
        <v>165.2</v>
      </c>
      <c r="N118" s="101">
        <f t="shared" si="42"/>
        <v>36.6</v>
      </c>
      <c r="O118" s="101">
        <f t="shared" si="42"/>
        <v>166.14000000000001</v>
      </c>
      <c r="P118" s="100">
        <f t="shared" si="42"/>
        <v>2.0609999999999999</v>
      </c>
      <c r="Q118" s="100">
        <f t="shared" si="42"/>
        <v>160.6</v>
      </c>
      <c r="R118" s="100">
        <f t="shared" si="42"/>
        <v>1.7000000000000001E-2</v>
      </c>
      <c r="S118" s="100">
        <f t="shared" si="42"/>
        <v>0.01</v>
      </c>
      <c r="T118" s="101">
        <f t="shared" si="42"/>
        <v>0.56000000000000005</v>
      </c>
    </row>
    <row r="119" spans="1:20" ht="24" customHeight="1" x14ac:dyDescent="0.25">
      <c r="A119" s="225" t="s">
        <v>20</v>
      </c>
      <c r="B119" s="226"/>
      <c r="C119" s="101">
        <f>+C104+C113+C118</f>
        <v>1755</v>
      </c>
      <c r="D119" s="4">
        <f>D118+D113+D104</f>
        <v>57.63</v>
      </c>
      <c r="E119" s="4">
        <f t="shared" ref="E119:T119" si="43">E118+E113+E104</f>
        <v>59.86</v>
      </c>
      <c r="F119" s="4">
        <f t="shared" si="43"/>
        <v>270.34000000000003</v>
      </c>
      <c r="G119" s="4">
        <f t="shared" si="43"/>
        <v>1747.9139999999998</v>
      </c>
      <c r="H119" s="160">
        <f t="shared" si="43"/>
        <v>0.91599999999999993</v>
      </c>
      <c r="I119" s="160">
        <f t="shared" si="43"/>
        <v>46.44</v>
      </c>
      <c r="J119" s="160">
        <f t="shared" si="43"/>
        <v>574.93000000000006</v>
      </c>
      <c r="K119" s="160">
        <f t="shared" si="43"/>
        <v>1.202</v>
      </c>
      <c r="L119" s="160">
        <f t="shared" si="43"/>
        <v>8.18</v>
      </c>
      <c r="M119" s="160">
        <f t="shared" si="43"/>
        <v>884.99</v>
      </c>
      <c r="N119" s="160">
        <f t="shared" si="43"/>
        <v>187.24</v>
      </c>
      <c r="O119" s="160">
        <f t="shared" si="43"/>
        <v>825.54</v>
      </c>
      <c r="P119" s="160">
        <f t="shared" si="43"/>
        <v>9.7139999999999986</v>
      </c>
      <c r="Q119" s="160">
        <f t="shared" si="43"/>
        <v>822.47</v>
      </c>
      <c r="R119" s="160">
        <f t="shared" si="43"/>
        <v>7.5999999999999998E-2</v>
      </c>
      <c r="S119" s="160">
        <f t="shared" si="43"/>
        <v>2.3099999999999999E-2</v>
      </c>
      <c r="T119" s="160">
        <f t="shared" si="43"/>
        <v>2.27</v>
      </c>
    </row>
    <row r="120" spans="1:20" ht="24" customHeight="1" x14ac:dyDescent="0.25">
      <c r="A120" s="54"/>
      <c r="B120" s="34"/>
      <c r="C120" s="97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220"/>
      <c r="P120" s="221"/>
      <c r="Q120" s="221"/>
      <c r="R120" s="221"/>
      <c r="S120" s="221"/>
      <c r="T120" s="222"/>
    </row>
    <row r="121" spans="1:20" ht="24" customHeight="1" x14ac:dyDescent="0.25">
      <c r="A121" s="219" t="s">
        <v>57</v>
      </c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1"/>
      <c r="R121" s="221"/>
      <c r="S121" s="221"/>
      <c r="T121" s="222"/>
    </row>
    <row r="122" spans="1:20" ht="24" customHeight="1" x14ac:dyDescent="0.25">
      <c r="A122" s="55"/>
      <c r="B122" s="13"/>
      <c r="C122" s="227" t="s">
        <v>152</v>
      </c>
      <c r="D122" s="231" t="s">
        <v>6</v>
      </c>
      <c r="E122" s="232"/>
      <c r="F122" s="233"/>
      <c r="G122" s="241" t="s">
        <v>76</v>
      </c>
      <c r="H122" s="223" t="s">
        <v>14</v>
      </c>
      <c r="I122" s="224"/>
      <c r="J122" s="224"/>
      <c r="K122" s="224"/>
      <c r="L122" s="222"/>
      <c r="M122" s="223" t="s">
        <v>15</v>
      </c>
      <c r="N122" s="224"/>
      <c r="O122" s="224"/>
      <c r="P122" s="224"/>
      <c r="Q122" s="221"/>
      <c r="R122" s="221"/>
      <c r="S122" s="221"/>
      <c r="T122" s="222"/>
    </row>
    <row r="123" spans="1:20" ht="67.5" customHeight="1" x14ac:dyDescent="0.25">
      <c r="A123" s="55"/>
      <c r="B123" s="13"/>
      <c r="C123" s="228"/>
      <c r="D123" s="98" t="s">
        <v>3</v>
      </c>
      <c r="E123" s="98" t="s">
        <v>4</v>
      </c>
      <c r="F123" s="98" t="s">
        <v>5</v>
      </c>
      <c r="G123" s="242"/>
      <c r="H123" s="61" t="s">
        <v>7</v>
      </c>
      <c r="I123" s="61" t="s">
        <v>8</v>
      </c>
      <c r="J123" s="61" t="s">
        <v>9</v>
      </c>
      <c r="K123" s="61" t="s">
        <v>146</v>
      </c>
      <c r="L123" s="61" t="s">
        <v>151</v>
      </c>
      <c r="M123" s="61" t="s">
        <v>10</v>
      </c>
      <c r="N123" s="61" t="s">
        <v>11</v>
      </c>
      <c r="O123" s="61" t="s">
        <v>12</v>
      </c>
      <c r="P123" s="103" t="s">
        <v>13</v>
      </c>
      <c r="Q123" s="102" t="s">
        <v>147</v>
      </c>
      <c r="R123" s="102" t="s">
        <v>148</v>
      </c>
      <c r="S123" s="102" t="s">
        <v>149</v>
      </c>
      <c r="T123" s="102" t="s">
        <v>150</v>
      </c>
    </row>
    <row r="124" spans="1:20" ht="24" customHeight="1" x14ac:dyDescent="0.25">
      <c r="A124" s="56" t="s">
        <v>17</v>
      </c>
      <c r="B124" s="22"/>
      <c r="C124" s="23">
        <f>SUM(C12+C36+C58+C81+C104)/5</f>
        <v>536</v>
      </c>
      <c r="D124" s="24">
        <f>+(D12+D36+D58+D81+D104)/5</f>
        <v>20.155999999999999</v>
      </c>
      <c r="E124" s="24">
        <f>+(E12+E36+E58+E81+E104)/5</f>
        <v>20.645999999999997</v>
      </c>
      <c r="F124" s="24">
        <f>+(F12+F36+F58+F81+F104)/5</f>
        <v>83.466999999999999</v>
      </c>
      <c r="G124" s="24">
        <f>+(G12+G36+G58+G81+G104)/5</f>
        <v>566.14279999999997</v>
      </c>
      <c r="H124" s="39">
        <v>0.3</v>
      </c>
      <c r="I124" s="39">
        <v>15</v>
      </c>
      <c r="J124" s="39">
        <v>175</v>
      </c>
      <c r="K124" s="39">
        <f>SUM(K12+K36+K58+K81+K104)</f>
        <v>1.677</v>
      </c>
      <c r="L124" s="39">
        <v>2.5</v>
      </c>
      <c r="M124" s="39">
        <f>SUM(M12+M36+M58+M81+M104)</f>
        <v>1260.0500000000002</v>
      </c>
      <c r="N124" s="39">
        <v>62.5</v>
      </c>
      <c r="O124" s="39">
        <f t="shared" ref="O124:T124" si="44">SUM(O12+O36+O58+O81+O104)</f>
        <v>1266.3500000000001</v>
      </c>
      <c r="P124" s="39">
        <f t="shared" si="44"/>
        <v>17.001000000000001</v>
      </c>
      <c r="Q124" s="39">
        <f t="shared" si="44"/>
        <v>1463.29</v>
      </c>
      <c r="R124" s="39">
        <f t="shared" si="44"/>
        <v>0.11119999999999999</v>
      </c>
      <c r="S124" s="39">
        <f t="shared" si="44"/>
        <v>3.6400000000000002E-2</v>
      </c>
      <c r="T124" s="39">
        <f t="shared" si="44"/>
        <v>4.1720999999999995</v>
      </c>
    </row>
    <row r="125" spans="1:20" ht="24" customHeight="1" x14ac:dyDescent="0.25">
      <c r="A125" s="56" t="s">
        <v>23</v>
      </c>
      <c r="B125" s="22"/>
      <c r="C125" s="23">
        <f>SUM(C22+C45+C67+C90+C113)/5</f>
        <v>798</v>
      </c>
      <c r="D125" s="24">
        <f>+(D22+D45+D67+D90+D113)/5</f>
        <v>28.916000000000004</v>
      </c>
      <c r="E125" s="24">
        <f>+(E22+E45+E67+E90+E113)/5</f>
        <v>30.879999999999995</v>
      </c>
      <c r="F125" s="24">
        <f>+(F22+F45+F67+F90+F113)/5</f>
        <v>120.947</v>
      </c>
      <c r="G125" s="24">
        <f>+(G22+G45+G67+G90+G113)/5</f>
        <v>869.01739999999995</v>
      </c>
      <c r="H125" s="39">
        <v>0.42</v>
      </c>
      <c r="I125" s="39">
        <v>21</v>
      </c>
      <c r="J125" s="39">
        <v>245</v>
      </c>
      <c r="K125" s="39">
        <f>SUM(K22+K45+K67+K90+K113)</f>
        <v>2.8409999999999997</v>
      </c>
      <c r="L125" s="39">
        <v>3.5</v>
      </c>
      <c r="M125" s="39">
        <f>SUM(M22+M45+M67+M90+M113)</f>
        <v>1800.3600000000001</v>
      </c>
      <c r="N125" s="39">
        <v>87</v>
      </c>
      <c r="O125" s="39">
        <f t="shared" ref="O125:T125" si="45">SUM(O22+O45+O67+O90+O113)</f>
        <v>1962.375</v>
      </c>
      <c r="P125" s="39">
        <f t="shared" si="45"/>
        <v>22.490000000000002</v>
      </c>
      <c r="Q125" s="39">
        <f t="shared" si="45"/>
        <v>2044.7199999999998</v>
      </c>
      <c r="R125" s="39">
        <f t="shared" si="45"/>
        <v>0.18645</v>
      </c>
      <c r="S125" s="39">
        <f t="shared" si="45"/>
        <v>5.9749999999999998E-2</v>
      </c>
      <c r="T125" s="39">
        <f t="shared" si="45"/>
        <v>8.4460000000000015</v>
      </c>
    </row>
    <row r="126" spans="1:20" ht="24" customHeight="1" x14ac:dyDescent="0.25">
      <c r="A126" s="56" t="s">
        <v>40</v>
      </c>
      <c r="B126" s="22"/>
      <c r="C126" s="23">
        <f>SUM(C27+C50+C72+C95+C118)/5</f>
        <v>363</v>
      </c>
      <c r="D126" s="24">
        <f>+(D27+D50+D72+D95+D118)/5</f>
        <v>11.773400000000001</v>
      </c>
      <c r="E126" s="24">
        <f>+(E27+E50+E72+E95+E118)/5</f>
        <v>11.092000000000001</v>
      </c>
      <c r="F126" s="24">
        <f>+(F27+F50+F72+F95+F118)/5</f>
        <v>60.383999999999993</v>
      </c>
      <c r="G126" s="24">
        <f>+(G27+G50+G72+G95+G118)/5</f>
        <v>394.27760000000001</v>
      </c>
      <c r="H126" s="39">
        <v>0.18</v>
      </c>
      <c r="I126" s="39">
        <v>9</v>
      </c>
      <c r="J126" s="39">
        <v>105</v>
      </c>
      <c r="K126" s="39">
        <f>SUM(K27+K50+K72+K95+K118)</f>
        <v>1.0615000000000001</v>
      </c>
      <c r="L126" s="39">
        <v>1.5</v>
      </c>
      <c r="M126" s="39">
        <f>SUM(M27+M50+M72+M95+M118)</f>
        <v>1301.7900000000002</v>
      </c>
      <c r="N126" s="39">
        <v>37</v>
      </c>
      <c r="O126" s="39">
        <f t="shared" ref="O126:T126" si="46">SUM(O27+O50+O72+O95+O118)</f>
        <v>1069.1300000000001</v>
      </c>
      <c r="P126" s="39">
        <f t="shared" si="46"/>
        <v>8.2199999999999989</v>
      </c>
      <c r="Q126" s="39">
        <f t="shared" si="46"/>
        <v>795.1</v>
      </c>
      <c r="R126" s="39">
        <f t="shared" si="46"/>
        <v>9.1000000000000011E-2</v>
      </c>
      <c r="S126" s="39">
        <f t="shared" si="46"/>
        <v>1.6E-2</v>
      </c>
      <c r="T126" s="39">
        <f t="shared" si="46"/>
        <v>2.42</v>
      </c>
    </row>
    <row r="127" spans="1:20" ht="24" customHeight="1" x14ac:dyDescent="0.25">
      <c r="A127" s="56" t="s">
        <v>79</v>
      </c>
      <c r="B127" s="25"/>
      <c r="C127" s="23">
        <f>SUM(C28+C51+C73+C96+C119)/5</f>
        <v>1697</v>
      </c>
      <c r="D127" s="24">
        <f>SUM(D124:D126)</f>
        <v>60.845400000000005</v>
      </c>
      <c r="E127" s="24">
        <f>SUM(E124:E126)</f>
        <v>62.617999999999995</v>
      </c>
      <c r="F127" s="24">
        <f>SUM(F124:F126)</f>
        <v>264.798</v>
      </c>
      <c r="G127" s="24">
        <f>SUM(G124:G126)</f>
        <v>1829.4377999999997</v>
      </c>
      <c r="H127" s="24">
        <f>SUM(H28+H51+H73+H96+H119)/5</f>
        <v>0.94710000000000005</v>
      </c>
      <c r="I127" s="24">
        <f t="shared" ref="I127:T127" si="47">SUM(I28+I51+I73+I96+I119)/5</f>
        <v>47.444000000000003</v>
      </c>
      <c r="J127" s="24">
        <f t="shared" si="47"/>
        <v>560.06600000000003</v>
      </c>
      <c r="K127" s="24">
        <f t="shared" si="47"/>
        <v>1.1158999999999999</v>
      </c>
      <c r="L127" s="24">
        <v>7.5</v>
      </c>
      <c r="M127" s="24">
        <f t="shared" si="47"/>
        <v>872.43999999999994</v>
      </c>
      <c r="N127" s="24">
        <f t="shared" si="47"/>
        <v>196.952</v>
      </c>
      <c r="O127" s="24">
        <f t="shared" si="47"/>
        <v>859.57099999999991</v>
      </c>
      <c r="P127" s="24">
        <f t="shared" si="47"/>
        <v>9.5421999999999993</v>
      </c>
      <c r="Q127" s="24">
        <f t="shared" si="47"/>
        <v>860.62199999999996</v>
      </c>
      <c r="R127" s="24">
        <f t="shared" si="47"/>
        <v>7.7729999999999994E-2</v>
      </c>
      <c r="S127" s="24">
        <f t="shared" si="47"/>
        <v>2.2429999999999999E-2</v>
      </c>
      <c r="T127" s="24">
        <f t="shared" si="47"/>
        <v>3.0076200000000002</v>
      </c>
    </row>
    <row r="128" spans="1:20" ht="24" customHeight="1" x14ac:dyDescent="0.25">
      <c r="A128" s="273" t="s">
        <v>78</v>
      </c>
      <c r="B128" s="274"/>
      <c r="C128" s="274"/>
      <c r="D128" s="274"/>
      <c r="E128" s="274"/>
      <c r="F128" s="274"/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21"/>
      <c r="R128" s="221"/>
      <c r="S128" s="221"/>
      <c r="T128" s="222"/>
    </row>
    <row r="129" spans="1:20" ht="24" customHeight="1" x14ac:dyDescent="0.25">
      <c r="A129" s="56" t="s">
        <v>17</v>
      </c>
      <c r="B129" s="22"/>
      <c r="C129" s="23">
        <f>SUM(C124/500*100)</f>
        <v>107.2</v>
      </c>
      <c r="D129" s="24">
        <f>D124*100/19.25</f>
        <v>104.7064935064935</v>
      </c>
      <c r="E129" s="24">
        <f>E124*100/19.75</f>
        <v>104.53670886075949</v>
      </c>
      <c r="F129" s="24">
        <f>F124*100/83.75</f>
        <v>99.662089552238811</v>
      </c>
      <c r="G129" s="24">
        <f>G124*100/587.5</f>
        <v>96.364731914893611</v>
      </c>
      <c r="H129" s="24">
        <f>SUM(H124*100/0.3)</f>
        <v>100</v>
      </c>
      <c r="I129" s="24">
        <f>SUM(I124*100/15)</f>
        <v>100</v>
      </c>
      <c r="J129" s="24">
        <f>SUM(J124*100/175)</f>
        <v>100</v>
      </c>
      <c r="K129" s="24">
        <f>SUM(K124*100/12)</f>
        <v>13.975000000000001</v>
      </c>
      <c r="L129" s="24">
        <f>SUM(L124*100/2.5)</f>
        <v>100</v>
      </c>
      <c r="M129" s="24">
        <f>SUM(M124*100/275)</f>
        <v>458.20000000000005</v>
      </c>
      <c r="N129" s="24">
        <f>SUM(N124*100/62.5)</f>
        <v>100</v>
      </c>
      <c r="O129" s="24">
        <f>SUM(O124*100/275)</f>
        <v>460.49090909090916</v>
      </c>
      <c r="P129" s="79">
        <f>SUM(P124*100/3)</f>
        <v>566.70000000000005</v>
      </c>
      <c r="Q129" s="79">
        <f>SUM(Q124*100/275)</f>
        <v>532.10545454545456</v>
      </c>
      <c r="R129" s="79">
        <f>SUM(R124*100/0.025)</f>
        <v>444.79999999999995</v>
      </c>
      <c r="S129" s="79">
        <f>SUM(S124*100/0.0075)</f>
        <v>485.33333333333337</v>
      </c>
      <c r="T129" s="24">
        <f>SUM(T124*100/0.75)</f>
        <v>556.27999999999986</v>
      </c>
    </row>
    <row r="130" spans="1:20" ht="24" customHeight="1" x14ac:dyDescent="0.25">
      <c r="A130" s="56" t="s">
        <v>19</v>
      </c>
      <c r="B130" s="22"/>
      <c r="C130" s="86">
        <f>SUM(C125/700*100)</f>
        <v>113.99999999999999</v>
      </c>
      <c r="D130" s="24">
        <f>D125*100/26.95</f>
        <v>107.29499072356217</v>
      </c>
      <c r="E130" s="24">
        <f>E125*100/27.65</f>
        <v>111.68173598553345</v>
      </c>
      <c r="F130" s="24">
        <f>F125*100/117.25</f>
        <v>103.15309168443497</v>
      </c>
      <c r="G130" s="24">
        <f>G125*100/822.5</f>
        <v>105.65561094224923</v>
      </c>
      <c r="H130" s="24">
        <f>SUM(H125*100/0.42)</f>
        <v>100</v>
      </c>
      <c r="I130" s="24">
        <f>SUM(I125*100/21)</f>
        <v>100</v>
      </c>
      <c r="J130" s="24">
        <f>SUM(J125*100/245)</f>
        <v>100</v>
      </c>
      <c r="K130" s="24">
        <f>SUM(K125*100/18)</f>
        <v>15.783333333333331</v>
      </c>
      <c r="L130" s="24">
        <f>SUM(L125*100/3.5)</f>
        <v>100</v>
      </c>
      <c r="M130" s="24">
        <f>SUM(M125*100/385)</f>
        <v>467.62597402597402</v>
      </c>
      <c r="N130" s="24">
        <f>SUM(N125*100/87.5)</f>
        <v>99.428571428571431</v>
      </c>
      <c r="O130" s="24">
        <f>SUM(O125*100/385)</f>
        <v>509.70779220779218</v>
      </c>
      <c r="P130" s="79">
        <f>SUM(P125*100/4.2)</f>
        <v>535.47619047619048</v>
      </c>
      <c r="Q130" s="79">
        <f>SUM(Q125*100/385)</f>
        <v>531.09610389610384</v>
      </c>
      <c r="R130" s="79">
        <f>SUM(R125*100/0.035)</f>
        <v>532.71428571428567</v>
      </c>
      <c r="S130" s="79">
        <f>SUM(S125*100/0.0105)</f>
        <v>569.04761904761892</v>
      </c>
      <c r="T130" s="24">
        <f>SUM(T125*100/1.05)</f>
        <v>804.38095238095252</v>
      </c>
    </row>
    <row r="131" spans="1:20" ht="24" customHeight="1" x14ac:dyDescent="0.25">
      <c r="A131" s="56" t="s">
        <v>40</v>
      </c>
      <c r="B131" s="22"/>
      <c r="C131" s="86">
        <f>SUM(C126/300*100)</f>
        <v>121</v>
      </c>
      <c r="D131" s="24">
        <f>D126*100/11.55</f>
        <v>101.93419913419915</v>
      </c>
      <c r="E131" s="24">
        <f>E126*100/11.85</f>
        <v>93.603375527426167</v>
      </c>
      <c r="F131" s="24">
        <f>F126*100/50.25</f>
        <v>120.16716417910447</v>
      </c>
      <c r="G131" s="24">
        <f>G126*100/352.5</f>
        <v>111.85180141843972</v>
      </c>
      <c r="H131" s="24">
        <f>SUM(H126*100/0.18)</f>
        <v>100</v>
      </c>
      <c r="I131" s="24">
        <f>SUM(I126*100/9)</f>
        <v>100</v>
      </c>
      <c r="J131" s="24">
        <f>SUM(J126*100/105)</f>
        <v>100</v>
      </c>
      <c r="K131" s="24">
        <f>SUM(K126*100/4)</f>
        <v>26.537500000000001</v>
      </c>
      <c r="L131" s="24">
        <f>SUM(L126*100/1.5)</f>
        <v>100</v>
      </c>
      <c r="M131" s="24">
        <f>SUM(M126*100/165)</f>
        <v>788.9636363636364</v>
      </c>
      <c r="N131" s="24">
        <f>SUM(N126*100/37.5)</f>
        <v>98.666666666666671</v>
      </c>
      <c r="O131" s="24">
        <f>SUM(O126*100/165)</f>
        <v>647.9575757575758</v>
      </c>
      <c r="P131" s="79">
        <f>SUM(P126*100/1.8)</f>
        <v>456.66666666666657</v>
      </c>
      <c r="Q131" s="79">
        <f>SUM(Q126*100/165)</f>
        <v>481.87878787878788</v>
      </c>
      <c r="R131" s="79">
        <f>SUM(R126*100/0.015)</f>
        <v>606.66666666666674</v>
      </c>
      <c r="S131" s="79">
        <f>SUM(S126*100/0.004)</f>
        <v>400</v>
      </c>
      <c r="T131" s="24">
        <f>SUM(T126*100/0.45)</f>
        <v>537.77777777777771</v>
      </c>
    </row>
    <row r="132" spans="1:20" ht="24" customHeight="1" x14ac:dyDescent="0.25">
      <c r="A132" s="57" t="s">
        <v>55</v>
      </c>
      <c r="B132" s="26"/>
      <c r="C132" s="27">
        <v>1500</v>
      </c>
      <c r="D132" s="27">
        <v>57.75</v>
      </c>
      <c r="E132" s="27">
        <v>59.25</v>
      </c>
      <c r="F132" s="27">
        <v>251.25</v>
      </c>
      <c r="G132" s="24">
        <v>1762.5</v>
      </c>
      <c r="H132" s="24">
        <v>0.9</v>
      </c>
      <c r="I132" s="27">
        <v>45</v>
      </c>
      <c r="J132" s="27">
        <v>525</v>
      </c>
      <c r="K132" s="27">
        <v>1.05</v>
      </c>
      <c r="L132" s="27">
        <v>7.5</v>
      </c>
      <c r="M132" s="27">
        <v>825</v>
      </c>
      <c r="N132" s="27">
        <v>187.5</v>
      </c>
      <c r="O132" s="27">
        <v>825</v>
      </c>
      <c r="P132" s="80">
        <v>9</v>
      </c>
      <c r="Q132" s="80">
        <v>825</v>
      </c>
      <c r="R132" s="85">
        <v>7.4999999999999997E-2</v>
      </c>
      <c r="S132" s="80">
        <v>2.2499999999999999E-2</v>
      </c>
      <c r="T132" s="27">
        <v>3</v>
      </c>
    </row>
    <row r="133" spans="1:20" ht="24" customHeight="1" x14ac:dyDescent="0.25">
      <c r="A133" s="57" t="s">
        <v>54</v>
      </c>
      <c r="B133" s="26"/>
      <c r="C133" s="27">
        <f>SUM(C127/1600*100)</f>
        <v>106.0625</v>
      </c>
      <c r="D133" s="27">
        <f>D127*100/D132</f>
        <v>105.36000000000001</v>
      </c>
      <c r="E133" s="27">
        <f>E127*100/E132</f>
        <v>105.684388185654</v>
      </c>
      <c r="F133" s="27">
        <f>F127*100/F132</f>
        <v>105.39223880597015</v>
      </c>
      <c r="G133" s="27">
        <f>G127*100/1740</f>
        <v>105.14010344827584</v>
      </c>
      <c r="H133" s="27">
        <f>SUM(H127*100/0.9)</f>
        <v>105.23333333333333</v>
      </c>
      <c r="I133" s="27">
        <f>SUM(I127*100/45)</f>
        <v>105.43111111111112</v>
      </c>
      <c r="J133" s="27">
        <f>SUM(J127*100/525)</f>
        <v>106.67923809523811</v>
      </c>
      <c r="K133" s="27">
        <f>SUM(K127*100/1.05)</f>
        <v>106.27619047619046</v>
      </c>
      <c r="L133" s="27">
        <f>SUM(L127*100/7.1)</f>
        <v>105.63380281690141</v>
      </c>
      <c r="M133" s="27">
        <f>SUM(M127*100/825)</f>
        <v>105.75030303030303</v>
      </c>
      <c r="N133" s="27">
        <f>SUM(N127*100/187.5)</f>
        <v>105.04106666666667</v>
      </c>
      <c r="O133" s="27">
        <f>SUM(O127*100/825)</f>
        <v>104.19042424242423</v>
      </c>
      <c r="P133" s="80">
        <f>SUM(P127*100/9)</f>
        <v>106.02444444444444</v>
      </c>
      <c r="Q133" s="80">
        <f>SUM(Q127*100/810)</f>
        <v>106.24962962962962</v>
      </c>
      <c r="R133" s="80">
        <f>SUM(R127*100/0.073)</f>
        <v>106.47945205479452</v>
      </c>
      <c r="S133" s="80">
        <f>SUM(S127*100/0.021)</f>
        <v>106.8095238095238</v>
      </c>
      <c r="T133" s="27">
        <f>SUM(T127*100/2.85)</f>
        <v>105.53052631578947</v>
      </c>
    </row>
    <row r="134" spans="1:20" ht="24" customHeight="1" x14ac:dyDescent="0.25">
      <c r="A134" s="271" t="s">
        <v>47</v>
      </c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37"/>
      <c r="R134" s="237"/>
      <c r="S134" s="237"/>
      <c r="T134" s="238"/>
    </row>
    <row r="135" spans="1:20" ht="24" customHeight="1" x14ac:dyDescent="0.25">
      <c r="A135" s="229" t="s">
        <v>17</v>
      </c>
      <c r="B135" s="230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21"/>
      <c r="R135" s="221"/>
      <c r="S135" s="221"/>
      <c r="T135" s="222"/>
    </row>
    <row r="136" spans="1:20" ht="32.25" customHeight="1" x14ac:dyDescent="0.25">
      <c r="A136" s="47" t="s">
        <v>204</v>
      </c>
      <c r="B136" s="1" t="s">
        <v>205</v>
      </c>
      <c r="C136" s="175" t="s">
        <v>56</v>
      </c>
      <c r="D136" s="175">
        <f>3.58*2.1</f>
        <v>7.5180000000000007</v>
      </c>
      <c r="E136" s="175">
        <v>15.2</v>
      </c>
      <c r="F136" s="175">
        <v>42.67</v>
      </c>
      <c r="G136" s="175">
        <f>129.65*2.1</f>
        <v>272.26500000000004</v>
      </c>
      <c r="H136" s="175">
        <v>0.22</v>
      </c>
      <c r="I136" s="175">
        <v>0.06</v>
      </c>
      <c r="J136" s="175">
        <v>161.6</v>
      </c>
      <c r="K136" s="175">
        <v>1.4E-2</v>
      </c>
      <c r="L136" s="175">
        <v>1.8</v>
      </c>
      <c r="M136" s="175">
        <v>141.24</v>
      </c>
      <c r="N136" s="175">
        <v>38.76</v>
      </c>
      <c r="O136" s="175">
        <v>142.80000000000001</v>
      </c>
      <c r="P136" s="177">
        <v>0.66</v>
      </c>
      <c r="Q136" s="178">
        <v>164</v>
      </c>
      <c r="R136" s="178">
        <v>2.8E-3</v>
      </c>
      <c r="S136" s="178">
        <v>4.7999999999999996E-3</v>
      </c>
      <c r="T136" s="178">
        <v>0.9</v>
      </c>
    </row>
    <row r="137" spans="1:20" ht="24" customHeight="1" x14ac:dyDescent="0.25">
      <c r="A137" s="153" t="s">
        <v>119</v>
      </c>
      <c r="B137" s="155" t="s">
        <v>61</v>
      </c>
      <c r="C137" s="157">
        <v>20</v>
      </c>
      <c r="D137" s="157">
        <v>6.6</v>
      </c>
      <c r="E137" s="157">
        <v>6.32</v>
      </c>
      <c r="F137" s="157">
        <v>0</v>
      </c>
      <c r="G137" s="2">
        <f>(9*E137)+4*(F137+D137)</f>
        <v>83.28</v>
      </c>
      <c r="H137" s="157">
        <v>6.0000000000000001E-3</v>
      </c>
      <c r="I137" s="157">
        <v>2.06</v>
      </c>
      <c r="J137" s="157">
        <v>6</v>
      </c>
      <c r="K137" s="157">
        <v>0.33</v>
      </c>
      <c r="L137" s="157">
        <v>1.2</v>
      </c>
      <c r="M137" s="157">
        <v>220</v>
      </c>
      <c r="N137" s="157">
        <v>10.47</v>
      </c>
      <c r="O137" s="157">
        <v>120.87</v>
      </c>
      <c r="P137" s="158">
        <v>0.13</v>
      </c>
      <c r="Q137" s="152">
        <v>25</v>
      </c>
      <c r="R137" s="152">
        <v>1.1999999999999999E-3</v>
      </c>
      <c r="S137" s="152">
        <v>6.9999999999999999E-4</v>
      </c>
      <c r="T137" s="152">
        <v>2.8000000000000001E-2</v>
      </c>
    </row>
    <row r="138" spans="1:20" ht="24" customHeight="1" x14ac:dyDescent="0.25">
      <c r="A138" s="154" t="s">
        <v>75</v>
      </c>
      <c r="B138" s="155" t="s">
        <v>160</v>
      </c>
      <c r="C138" s="157" t="s">
        <v>56</v>
      </c>
      <c r="D138" s="157">
        <v>0</v>
      </c>
      <c r="E138" s="157">
        <v>0</v>
      </c>
      <c r="F138" s="157">
        <v>9.98</v>
      </c>
      <c r="G138" s="157">
        <f>(9*E138)+4*(F138+D138)</f>
        <v>39.92</v>
      </c>
      <c r="H138" s="157">
        <v>0</v>
      </c>
      <c r="I138" s="157">
        <v>0</v>
      </c>
      <c r="J138" s="157">
        <v>0</v>
      </c>
      <c r="K138" s="157">
        <v>0</v>
      </c>
      <c r="L138" s="157">
        <v>0</v>
      </c>
      <c r="M138" s="157">
        <v>12</v>
      </c>
      <c r="N138" s="157">
        <v>6</v>
      </c>
      <c r="O138" s="157">
        <v>8.24</v>
      </c>
      <c r="P138" s="158">
        <v>0.86</v>
      </c>
      <c r="Q138" s="152">
        <v>24</v>
      </c>
      <c r="R138" s="152">
        <v>0</v>
      </c>
      <c r="S138" s="152">
        <v>0</v>
      </c>
      <c r="T138" s="152">
        <v>0.2</v>
      </c>
    </row>
    <row r="139" spans="1:20" ht="24" customHeight="1" x14ac:dyDescent="0.25">
      <c r="A139" s="48" t="s">
        <v>93</v>
      </c>
      <c r="B139" s="19" t="s">
        <v>62</v>
      </c>
      <c r="C139" s="161">
        <v>20</v>
      </c>
      <c r="D139" s="157">
        <v>1.5</v>
      </c>
      <c r="E139" s="157">
        <v>0.16</v>
      </c>
      <c r="F139" s="157">
        <v>10.029999999999999</v>
      </c>
      <c r="G139" s="11">
        <f>(9*E139)+4*(F139+D139)</f>
        <v>47.559999999999995</v>
      </c>
      <c r="H139" s="21">
        <v>5.1999999999999998E-2</v>
      </c>
      <c r="I139" s="21">
        <v>0.4</v>
      </c>
      <c r="J139" s="21">
        <v>0</v>
      </c>
      <c r="K139" s="21">
        <v>0</v>
      </c>
      <c r="L139" s="21">
        <v>0</v>
      </c>
      <c r="M139" s="21">
        <v>5.8</v>
      </c>
      <c r="N139" s="21">
        <v>9.6</v>
      </c>
      <c r="O139" s="21">
        <v>36.799999999999997</v>
      </c>
      <c r="P139" s="72">
        <v>0.44</v>
      </c>
      <c r="Q139" s="152">
        <v>0</v>
      </c>
      <c r="R139" s="152">
        <v>0</v>
      </c>
      <c r="S139" s="152">
        <v>0</v>
      </c>
      <c r="T139" s="152">
        <v>0</v>
      </c>
    </row>
    <row r="140" spans="1:20" ht="24" customHeight="1" x14ac:dyDescent="0.25">
      <c r="A140" s="48" t="s">
        <v>93</v>
      </c>
      <c r="B140" s="19" t="s">
        <v>25</v>
      </c>
      <c r="C140" s="21">
        <v>25</v>
      </c>
      <c r="D140" s="21">
        <v>1.52</v>
      </c>
      <c r="E140" s="21">
        <v>0.16</v>
      </c>
      <c r="F140" s="21">
        <v>9.98</v>
      </c>
      <c r="G140" s="11">
        <f t="shared" ref="G140" si="48">(9*E140)+4*(F140+D140)</f>
        <v>47.44</v>
      </c>
      <c r="H140" s="21">
        <v>0.08</v>
      </c>
      <c r="I140" s="21">
        <v>0.4</v>
      </c>
      <c r="J140" s="21">
        <v>0</v>
      </c>
      <c r="K140" s="21">
        <v>0</v>
      </c>
      <c r="L140" s="21">
        <v>0</v>
      </c>
      <c r="M140" s="21">
        <v>30</v>
      </c>
      <c r="N140" s="21">
        <v>8.1999999999999993</v>
      </c>
      <c r="O140" s="21">
        <v>13</v>
      </c>
      <c r="P140" s="72">
        <v>0.72</v>
      </c>
      <c r="Q140" s="152">
        <v>18.2</v>
      </c>
      <c r="R140" s="152">
        <v>6.0000000000000001E-3</v>
      </c>
      <c r="S140" s="152">
        <v>1E-3</v>
      </c>
      <c r="T140" s="152">
        <v>0</v>
      </c>
    </row>
    <row r="141" spans="1:20" ht="24" customHeight="1" x14ac:dyDescent="0.25">
      <c r="A141" s="154"/>
      <c r="B141" s="155" t="s">
        <v>140</v>
      </c>
      <c r="C141" s="157">
        <v>40</v>
      </c>
      <c r="D141" s="157">
        <v>2.8</v>
      </c>
      <c r="E141" s="157">
        <v>0.7</v>
      </c>
      <c r="F141" s="157">
        <v>11.86</v>
      </c>
      <c r="G141" s="2">
        <f>(9*E141)+4*(F141+D141)</f>
        <v>64.94</v>
      </c>
      <c r="H141" s="161">
        <v>0.03</v>
      </c>
      <c r="I141" s="161">
        <v>10</v>
      </c>
      <c r="J141" s="161">
        <v>30</v>
      </c>
      <c r="K141" s="161">
        <v>0.04</v>
      </c>
      <c r="L141" s="161">
        <v>0</v>
      </c>
      <c r="M141" s="161">
        <v>10.16</v>
      </c>
      <c r="N141" s="161">
        <v>14</v>
      </c>
      <c r="O141" s="161">
        <v>9.5</v>
      </c>
      <c r="P141" s="159">
        <v>0.2</v>
      </c>
      <c r="Q141" s="152">
        <v>0.4</v>
      </c>
      <c r="R141" s="152">
        <v>1.7000000000000001E-2</v>
      </c>
      <c r="S141" s="152">
        <v>0</v>
      </c>
      <c r="T141" s="152">
        <v>0.5</v>
      </c>
    </row>
    <row r="142" spans="1:20" ht="24" customHeight="1" x14ac:dyDescent="0.25">
      <c r="A142" s="225" t="s">
        <v>18</v>
      </c>
      <c r="B142" s="243"/>
      <c r="C142" s="62">
        <v>525</v>
      </c>
      <c r="D142" s="4">
        <f>SUM(D136:D141)</f>
        <v>19.938000000000002</v>
      </c>
      <c r="E142" s="4">
        <f>SUM(E136:E141)</f>
        <v>22.54</v>
      </c>
      <c r="F142" s="4">
        <f>SUM(F136:F141)</f>
        <v>84.52000000000001</v>
      </c>
      <c r="G142" s="4">
        <f>SUM(G136:G141)</f>
        <v>555.40500000000009</v>
      </c>
      <c r="H142" s="5">
        <f t="shared" ref="H142:T142" si="49">SUM(H136:H141)</f>
        <v>0.38800000000000001</v>
      </c>
      <c r="I142" s="5">
        <f t="shared" si="49"/>
        <v>12.92</v>
      </c>
      <c r="J142" s="5">
        <f t="shared" si="49"/>
        <v>197.6</v>
      </c>
      <c r="K142" s="5">
        <f t="shared" si="49"/>
        <v>0.38400000000000001</v>
      </c>
      <c r="L142" s="5">
        <f t="shared" si="49"/>
        <v>3</v>
      </c>
      <c r="M142" s="5">
        <f t="shared" si="49"/>
        <v>419.20000000000005</v>
      </c>
      <c r="N142" s="5">
        <f t="shared" si="49"/>
        <v>87.03</v>
      </c>
      <c r="O142" s="5">
        <f t="shared" si="49"/>
        <v>331.21000000000004</v>
      </c>
      <c r="P142" s="73">
        <f t="shared" si="49"/>
        <v>3.01</v>
      </c>
      <c r="Q142" s="73">
        <f t="shared" si="49"/>
        <v>231.6</v>
      </c>
      <c r="R142" s="73">
        <f t="shared" si="49"/>
        <v>2.7000000000000003E-2</v>
      </c>
      <c r="S142" s="73">
        <f t="shared" si="49"/>
        <v>6.4999999999999997E-3</v>
      </c>
      <c r="T142" s="10">
        <f t="shared" si="49"/>
        <v>1.6280000000000001</v>
      </c>
    </row>
    <row r="143" spans="1:20" ht="24" customHeight="1" x14ac:dyDescent="0.25">
      <c r="A143" s="225" t="s">
        <v>166</v>
      </c>
      <c r="B143" s="236"/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  <c r="P143" s="240"/>
      <c r="Q143" s="102"/>
      <c r="R143" s="102"/>
      <c r="S143" s="102"/>
      <c r="T143" s="102"/>
    </row>
    <row r="144" spans="1:20" ht="35.450000000000003" customHeight="1" x14ac:dyDescent="0.25">
      <c r="A144" s="153" t="s">
        <v>126</v>
      </c>
      <c r="B144" s="155" t="s">
        <v>210</v>
      </c>
      <c r="C144" s="157">
        <v>250</v>
      </c>
      <c r="D144" s="2">
        <v>10.08</v>
      </c>
      <c r="E144" s="2">
        <v>11.37</v>
      </c>
      <c r="F144" s="157">
        <v>18.16</v>
      </c>
      <c r="G144" s="67">
        <f>127*2.67</f>
        <v>339.09</v>
      </c>
      <c r="H144" s="157">
        <v>0.1</v>
      </c>
      <c r="I144" s="157">
        <v>8.6999999999999993</v>
      </c>
      <c r="J144" s="157">
        <v>98.7</v>
      </c>
      <c r="K144" s="157">
        <v>0.13300000000000001</v>
      </c>
      <c r="L144" s="157">
        <v>0.8</v>
      </c>
      <c r="M144" s="157">
        <v>94.6</v>
      </c>
      <c r="N144" s="157">
        <v>16.5</v>
      </c>
      <c r="O144" s="157">
        <v>56.3</v>
      </c>
      <c r="P144" s="158">
        <v>0.9</v>
      </c>
      <c r="Q144" s="152">
        <v>124</v>
      </c>
      <c r="R144" s="152">
        <v>0.01</v>
      </c>
      <c r="S144" s="152">
        <v>2.3E-3</v>
      </c>
      <c r="T144" s="152">
        <v>0.65</v>
      </c>
    </row>
    <row r="145" spans="1:20" ht="31.5" customHeight="1" x14ac:dyDescent="0.25">
      <c r="A145" s="47" t="s">
        <v>206</v>
      </c>
      <c r="B145" s="30" t="s">
        <v>63</v>
      </c>
      <c r="C145" s="152">
        <v>60</v>
      </c>
      <c r="D145" s="152">
        <v>0.72</v>
      </c>
      <c r="E145" s="152">
        <f>0.45*0.6</f>
        <v>0.27</v>
      </c>
      <c r="F145" s="152">
        <v>4.95</v>
      </c>
      <c r="G145" s="157">
        <f>19.45*0.6</f>
        <v>11.67</v>
      </c>
      <c r="H145" s="152">
        <v>0.05</v>
      </c>
      <c r="I145" s="152">
        <v>8.25</v>
      </c>
      <c r="J145" s="152">
        <v>0</v>
      </c>
      <c r="K145" s="152">
        <v>0.19</v>
      </c>
      <c r="L145" s="152">
        <v>3</v>
      </c>
      <c r="M145" s="152">
        <v>61.35</v>
      </c>
      <c r="N145" s="152">
        <v>11.55</v>
      </c>
      <c r="O145" s="152">
        <v>32.17</v>
      </c>
      <c r="P145" s="183">
        <v>0.98</v>
      </c>
      <c r="Q145" s="152">
        <v>88.7</v>
      </c>
      <c r="R145" s="152">
        <v>2E-3</v>
      </c>
      <c r="S145" s="152">
        <v>1.6999999999999999E-3</v>
      </c>
      <c r="T145" s="152">
        <v>0.04</v>
      </c>
    </row>
    <row r="146" spans="1:20" ht="32.450000000000003" customHeight="1" x14ac:dyDescent="0.25">
      <c r="A146" s="174" t="s">
        <v>207</v>
      </c>
      <c r="B146" s="1" t="s">
        <v>208</v>
      </c>
      <c r="C146" s="175" t="s">
        <v>32</v>
      </c>
      <c r="D146" s="178">
        <v>19.399999999999999</v>
      </c>
      <c r="E146" s="178">
        <v>20.96</v>
      </c>
      <c r="F146" s="178">
        <f>20.4*2</f>
        <v>40.799999999999997</v>
      </c>
      <c r="G146" s="175">
        <f>147.6*2</f>
        <v>295.2</v>
      </c>
      <c r="H146" s="175">
        <v>1.2E-2</v>
      </c>
      <c r="I146" s="175">
        <v>5.95</v>
      </c>
      <c r="J146" s="175">
        <v>125.4</v>
      </c>
      <c r="K146" s="175">
        <v>0.12</v>
      </c>
      <c r="L146" s="175">
        <v>0.12</v>
      </c>
      <c r="M146" s="175">
        <v>89.67</v>
      </c>
      <c r="N146" s="175">
        <v>22.48</v>
      </c>
      <c r="O146" s="184">
        <v>88.03</v>
      </c>
      <c r="P146" s="175">
        <v>0.81</v>
      </c>
      <c r="Q146" s="178">
        <v>221.5</v>
      </c>
      <c r="R146" s="178">
        <v>2E-3</v>
      </c>
      <c r="S146" s="178">
        <v>6.0000000000000001E-3</v>
      </c>
      <c r="T146" s="178">
        <v>5.3999999999999999E-2</v>
      </c>
    </row>
    <row r="147" spans="1:20" ht="36" customHeight="1" x14ac:dyDescent="0.25">
      <c r="A147" s="48" t="s">
        <v>209</v>
      </c>
      <c r="B147" s="1" t="s">
        <v>211</v>
      </c>
      <c r="C147" s="175">
        <v>200</v>
      </c>
      <c r="D147" s="175">
        <f>0.2*2</f>
        <v>0.4</v>
      </c>
      <c r="E147" s="175">
        <f>0.06*2</f>
        <v>0.12</v>
      </c>
      <c r="F147" s="175">
        <f>12.64*2</f>
        <v>25.28</v>
      </c>
      <c r="G147" s="175">
        <f>51.9*2</f>
        <v>103.8</v>
      </c>
      <c r="H147" s="175">
        <v>0.08</v>
      </c>
      <c r="I147" s="175">
        <v>0.7</v>
      </c>
      <c r="J147" s="175">
        <v>28.4</v>
      </c>
      <c r="K147" s="175">
        <v>0.08</v>
      </c>
      <c r="L147" s="175">
        <v>0</v>
      </c>
      <c r="M147" s="175">
        <v>74.3</v>
      </c>
      <c r="N147" s="175">
        <v>19.3</v>
      </c>
      <c r="O147" s="175">
        <v>142.4</v>
      </c>
      <c r="P147" s="177">
        <v>1.23</v>
      </c>
      <c r="Q147" s="178">
        <v>75</v>
      </c>
      <c r="R147" s="178">
        <v>0.01</v>
      </c>
      <c r="S147" s="178">
        <v>5.4000000000000003E-3</v>
      </c>
      <c r="T147" s="178">
        <v>0.152</v>
      </c>
    </row>
    <row r="148" spans="1:20" ht="24" customHeight="1" x14ac:dyDescent="0.25">
      <c r="A148" s="48" t="s">
        <v>93</v>
      </c>
      <c r="B148" s="19" t="s">
        <v>25</v>
      </c>
      <c r="C148" s="21">
        <v>25</v>
      </c>
      <c r="D148" s="21">
        <v>1.52</v>
      </c>
      <c r="E148" s="21">
        <v>0.16</v>
      </c>
      <c r="F148" s="21">
        <v>9.98</v>
      </c>
      <c r="G148" s="11">
        <f t="shared" ref="G148" si="50">(9*E148)+4*(F148+D148)</f>
        <v>47.44</v>
      </c>
      <c r="H148" s="21">
        <v>0.08</v>
      </c>
      <c r="I148" s="21">
        <v>0.4</v>
      </c>
      <c r="J148" s="21">
        <v>0</v>
      </c>
      <c r="K148" s="21">
        <v>0</v>
      </c>
      <c r="L148" s="21">
        <v>0</v>
      </c>
      <c r="M148" s="21">
        <v>15</v>
      </c>
      <c r="N148" s="21">
        <v>8.1999999999999993</v>
      </c>
      <c r="O148" s="21">
        <v>13</v>
      </c>
      <c r="P148" s="72">
        <v>0.72</v>
      </c>
      <c r="Q148" s="152">
        <v>18.2</v>
      </c>
      <c r="R148" s="152">
        <v>6.0000000000000001E-3</v>
      </c>
      <c r="S148" s="152">
        <v>1E-3</v>
      </c>
      <c r="T148" s="152">
        <v>0</v>
      </c>
    </row>
    <row r="149" spans="1:20" ht="24" customHeight="1" x14ac:dyDescent="0.25">
      <c r="A149" s="48" t="s">
        <v>94</v>
      </c>
      <c r="B149" s="3" t="s">
        <v>27</v>
      </c>
      <c r="C149" s="157">
        <v>25</v>
      </c>
      <c r="D149" s="157">
        <v>1.32</v>
      </c>
      <c r="E149" s="157">
        <v>0.24</v>
      </c>
      <c r="F149" s="157">
        <v>8.36</v>
      </c>
      <c r="G149" s="157">
        <f>(9*E149)+4*(F149+D149)</f>
        <v>40.879999999999995</v>
      </c>
      <c r="H149" s="157">
        <v>0.03</v>
      </c>
      <c r="I149" s="157">
        <v>0</v>
      </c>
      <c r="J149" s="157">
        <v>0</v>
      </c>
      <c r="K149" s="157">
        <v>0</v>
      </c>
      <c r="L149" s="157">
        <v>0</v>
      </c>
      <c r="M149" s="157">
        <v>5.08</v>
      </c>
      <c r="N149" s="157">
        <v>4.96</v>
      </c>
      <c r="O149" s="157">
        <v>40</v>
      </c>
      <c r="P149" s="158">
        <v>0.4</v>
      </c>
      <c r="Q149" s="152">
        <v>16.2</v>
      </c>
      <c r="R149" s="152">
        <v>6.0000000000000001E-3</v>
      </c>
      <c r="S149" s="152">
        <v>1E-3</v>
      </c>
      <c r="T149" s="152">
        <v>0</v>
      </c>
    </row>
    <row r="150" spans="1:20" ht="24" customHeight="1" x14ac:dyDescent="0.25">
      <c r="A150" s="225" t="s">
        <v>18</v>
      </c>
      <c r="B150" s="266"/>
      <c r="C150" s="101">
        <v>760</v>
      </c>
      <c r="D150" s="9">
        <f>SUM(D144:D149)</f>
        <v>33.44</v>
      </c>
      <c r="E150" s="9">
        <f>SUM(E144:E149)</f>
        <v>33.119999999999997</v>
      </c>
      <c r="F150" s="4">
        <f>SUM(F144:F149)</f>
        <v>107.53</v>
      </c>
      <c r="G150" s="9">
        <f>(9*E150)+4*(D150+F150)</f>
        <v>861.96</v>
      </c>
      <c r="H150" s="5">
        <f>SUM(H144:H149)</f>
        <v>0.35200000000000009</v>
      </c>
      <c r="I150" s="5">
        <f t="shared" ref="I150:T150" si="51">SUM(I144:I149)</f>
        <v>23.999999999999996</v>
      </c>
      <c r="J150" s="5">
        <f t="shared" si="51"/>
        <v>252.50000000000003</v>
      </c>
      <c r="K150" s="5">
        <f t="shared" si="51"/>
        <v>0.52300000000000002</v>
      </c>
      <c r="L150" s="5">
        <f t="shared" si="51"/>
        <v>3.92</v>
      </c>
      <c r="M150" s="5">
        <f t="shared" si="51"/>
        <v>340</v>
      </c>
      <c r="N150" s="5">
        <f t="shared" si="51"/>
        <v>82.99</v>
      </c>
      <c r="O150" s="5">
        <f t="shared" si="51"/>
        <v>371.9</v>
      </c>
      <c r="P150" s="73">
        <f t="shared" si="51"/>
        <v>5.04</v>
      </c>
      <c r="Q150" s="73">
        <f t="shared" si="51"/>
        <v>543.6</v>
      </c>
      <c r="R150" s="73">
        <f t="shared" si="51"/>
        <v>3.5999999999999997E-2</v>
      </c>
      <c r="S150" s="73">
        <f t="shared" si="51"/>
        <v>1.7400000000000002E-2</v>
      </c>
      <c r="T150" s="5">
        <f t="shared" si="51"/>
        <v>0.89600000000000013</v>
      </c>
    </row>
    <row r="151" spans="1:20" ht="24" customHeight="1" x14ac:dyDescent="0.25">
      <c r="A151" s="229" t="s">
        <v>40</v>
      </c>
      <c r="B151" s="239"/>
      <c r="C151" s="239"/>
      <c r="D151" s="239"/>
      <c r="E151" s="239"/>
      <c r="F151" s="239"/>
      <c r="G151" s="239"/>
      <c r="H151" s="239"/>
      <c r="I151" s="239"/>
      <c r="J151" s="239"/>
      <c r="K151" s="239"/>
      <c r="L151" s="239"/>
      <c r="M151" s="239"/>
      <c r="N151" s="239"/>
      <c r="O151" s="239"/>
      <c r="P151" s="239"/>
      <c r="Q151" s="221"/>
      <c r="R151" s="221"/>
      <c r="S151" s="221"/>
      <c r="T151" s="222"/>
    </row>
    <row r="152" spans="1:20" ht="33" customHeight="1" x14ac:dyDescent="0.25">
      <c r="A152" s="154" t="s">
        <v>75</v>
      </c>
      <c r="B152" s="155" t="s">
        <v>212</v>
      </c>
      <c r="C152" s="157">
        <v>65</v>
      </c>
      <c r="D152" s="2">
        <v>6.42</v>
      </c>
      <c r="E152" s="2">
        <v>9.6</v>
      </c>
      <c r="F152" s="2">
        <v>56.17</v>
      </c>
      <c r="G152" s="11">
        <f>409.4*0.5</f>
        <v>204.7</v>
      </c>
      <c r="H152" s="157">
        <v>0.16</v>
      </c>
      <c r="I152" s="157">
        <v>1.9</v>
      </c>
      <c r="J152" s="157">
        <v>101.4</v>
      </c>
      <c r="K152" s="157">
        <v>0.2</v>
      </c>
      <c r="L152" s="157">
        <v>0.98</v>
      </c>
      <c r="M152" s="157">
        <v>89.2</v>
      </c>
      <c r="N152" s="157">
        <v>12.4</v>
      </c>
      <c r="O152" s="157">
        <v>81.599999999999994</v>
      </c>
      <c r="P152" s="158">
        <v>0.32</v>
      </c>
      <c r="Q152" s="152">
        <v>74</v>
      </c>
      <c r="R152" s="152">
        <v>0</v>
      </c>
      <c r="S152" s="152">
        <v>0</v>
      </c>
      <c r="T152" s="152">
        <v>0</v>
      </c>
    </row>
    <row r="153" spans="1:20" ht="24" customHeight="1" x14ac:dyDescent="0.25">
      <c r="A153" s="154" t="s">
        <v>125</v>
      </c>
      <c r="B153" s="156" t="s">
        <v>64</v>
      </c>
      <c r="C153" s="157">
        <v>100</v>
      </c>
      <c r="D153" s="157">
        <v>0.48</v>
      </c>
      <c r="E153" s="157">
        <v>0.48</v>
      </c>
      <c r="F153" s="157">
        <v>11.86</v>
      </c>
      <c r="G153" s="2">
        <f t="shared" ref="G153" si="52">(9*E153)+4*(F153+D153)</f>
        <v>53.68</v>
      </c>
      <c r="H153" s="161">
        <v>0.03</v>
      </c>
      <c r="I153" s="161">
        <v>10</v>
      </c>
      <c r="J153" s="161">
        <v>0.03</v>
      </c>
      <c r="K153" s="161">
        <v>0.02</v>
      </c>
      <c r="L153" s="161">
        <v>0</v>
      </c>
      <c r="M153" s="161">
        <v>9.5</v>
      </c>
      <c r="N153" s="161">
        <v>7</v>
      </c>
      <c r="O153" s="161">
        <v>9.5</v>
      </c>
      <c r="P153" s="159">
        <v>0.8</v>
      </c>
      <c r="Q153" s="152">
        <v>0.4</v>
      </c>
      <c r="R153" s="152">
        <v>1.7000000000000001E-2</v>
      </c>
      <c r="S153" s="152">
        <v>0</v>
      </c>
      <c r="T153" s="152">
        <v>0.5</v>
      </c>
    </row>
    <row r="154" spans="1:20" ht="24" customHeight="1" x14ac:dyDescent="0.25">
      <c r="A154" s="154" t="s">
        <v>115</v>
      </c>
      <c r="B154" s="155" t="s">
        <v>30</v>
      </c>
      <c r="C154" s="157" t="s">
        <v>135</v>
      </c>
      <c r="D154" s="157">
        <v>0.04</v>
      </c>
      <c r="E154" s="157">
        <v>0</v>
      </c>
      <c r="F154" s="157">
        <v>10.119999999999999</v>
      </c>
      <c r="G154" s="11">
        <f t="shared" ref="G154" si="53">(9*E154)+4*(F154+D154)</f>
        <v>40.639999999999993</v>
      </c>
      <c r="H154" s="157">
        <v>0.06</v>
      </c>
      <c r="I154" s="157">
        <v>0</v>
      </c>
      <c r="J154" s="157">
        <v>0</v>
      </c>
      <c r="K154" s="157">
        <v>0</v>
      </c>
      <c r="L154" s="157">
        <v>0</v>
      </c>
      <c r="M154" s="157">
        <v>10.16</v>
      </c>
      <c r="N154" s="157">
        <v>9.92</v>
      </c>
      <c r="O154" s="157">
        <v>80</v>
      </c>
      <c r="P154" s="158">
        <v>0.8</v>
      </c>
      <c r="Q154" s="152">
        <v>34</v>
      </c>
      <c r="R154" s="152">
        <v>0</v>
      </c>
      <c r="S154" s="152">
        <v>0</v>
      </c>
      <c r="T154" s="152">
        <v>0.2</v>
      </c>
    </row>
    <row r="155" spans="1:20" ht="24" customHeight="1" x14ac:dyDescent="0.25">
      <c r="A155" s="244" t="s">
        <v>18</v>
      </c>
      <c r="B155" s="245"/>
      <c r="C155" s="101">
        <v>380</v>
      </c>
      <c r="D155" s="9">
        <f>SUM(D152:D154)</f>
        <v>6.94</v>
      </c>
      <c r="E155" s="9">
        <f t="shared" ref="E155:F155" si="54">SUM(E152:E154)</f>
        <v>10.08</v>
      </c>
      <c r="F155" s="9">
        <f t="shared" si="54"/>
        <v>78.150000000000006</v>
      </c>
      <c r="G155" s="9">
        <f>(9*E155)+4*(D155+F155)</f>
        <v>431.08000000000004</v>
      </c>
      <c r="H155" s="13">
        <f>SUM(H152:H154)</f>
        <v>0.25</v>
      </c>
      <c r="I155" s="13">
        <f t="shared" ref="I155:T155" si="55">SUM(I152:I154)</f>
        <v>11.9</v>
      </c>
      <c r="J155" s="13">
        <f t="shared" si="55"/>
        <v>101.43</v>
      </c>
      <c r="K155" s="13">
        <f t="shared" si="55"/>
        <v>0.22</v>
      </c>
      <c r="L155" s="13">
        <f t="shared" si="55"/>
        <v>0.98</v>
      </c>
      <c r="M155" s="13">
        <f t="shared" si="55"/>
        <v>108.86</v>
      </c>
      <c r="N155" s="13">
        <f t="shared" si="55"/>
        <v>29.32</v>
      </c>
      <c r="O155" s="13">
        <f t="shared" si="55"/>
        <v>171.1</v>
      </c>
      <c r="P155" s="112">
        <f t="shared" si="55"/>
        <v>1.9200000000000002</v>
      </c>
      <c r="Q155" s="112">
        <f t="shared" si="55"/>
        <v>108.4</v>
      </c>
      <c r="R155" s="112">
        <f t="shared" si="55"/>
        <v>1.7000000000000001E-2</v>
      </c>
      <c r="S155" s="112">
        <f t="shared" si="55"/>
        <v>0</v>
      </c>
      <c r="T155" s="13">
        <f t="shared" si="55"/>
        <v>0.7</v>
      </c>
    </row>
    <row r="156" spans="1:20" ht="24" customHeight="1" x14ac:dyDescent="0.25">
      <c r="A156" s="225" t="s">
        <v>20</v>
      </c>
      <c r="B156" s="226"/>
      <c r="C156" s="101">
        <f>+C142+C150+C155</f>
        <v>1665</v>
      </c>
      <c r="D156" s="9">
        <f>D155+D150+D142</f>
        <v>60.317999999999998</v>
      </c>
      <c r="E156" s="9">
        <f>E155+E150+E142</f>
        <v>65.739999999999995</v>
      </c>
      <c r="F156" s="9">
        <f>F155+F150+F142</f>
        <v>270.20000000000005</v>
      </c>
      <c r="G156" s="9">
        <f>G155+G150+G142</f>
        <v>1848.4450000000002</v>
      </c>
      <c r="H156" s="5">
        <f>H155+H150+H142</f>
        <v>0.9900000000000001</v>
      </c>
      <c r="I156" s="5">
        <f t="shared" ref="I156:T156" si="56">I155+I150+I142</f>
        <v>48.82</v>
      </c>
      <c r="J156" s="5">
        <f t="shared" si="56"/>
        <v>551.53000000000009</v>
      </c>
      <c r="K156" s="5">
        <f t="shared" si="56"/>
        <v>1.127</v>
      </c>
      <c r="L156" s="5">
        <f t="shared" si="56"/>
        <v>7.9</v>
      </c>
      <c r="M156" s="5">
        <f t="shared" si="56"/>
        <v>868.06000000000006</v>
      </c>
      <c r="N156" s="5">
        <f t="shared" si="56"/>
        <v>199.34</v>
      </c>
      <c r="O156" s="5">
        <f t="shared" si="56"/>
        <v>874.21</v>
      </c>
      <c r="P156" s="73">
        <f t="shared" si="56"/>
        <v>9.9699999999999989</v>
      </c>
      <c r="Q156" s="73">
        <f t="shared" si="56"/>
        <v>883.6</v>
      </c>
      <c r="R156" s="73">
        <f t="shared" si="56"/>
        <v>0.08</v>
      </c>
      <c r="S156" s="73">
        <f t="shared" si="56"/>
        <v>2.3900000000000001E-2</v>
      </c>
      <c r="T156" s="94">
        <f t="shared" si="56"/>
        <v>3.2240000000000002</v>
      </c>
    </row>
    <row r="157" spans="1:20" ht="24" customHeight="1" x14ac:dyDescent="0.25">
      <c r="A157" s="234" t="s">
        <v>48</v>
      </c>
      <c r="B157" s="235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21"/>
      <c r="R157" s="221"/>
      <c r="S157" s="221"/>
      <c r="T157" s="222"/>
    </row>
    <row r="158" spans="1:20" ht="24" customHeight="1" x14ac:dyDescent="0.25">
      <c r="A158" s="229" t="s">
        <v>17</v>
      </c>
      <c r="B158" s="230"/>
      <c r="C158" s="230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21"/>
      <c r="R158" s="221"/>
      <c r="S158" s="221"/>
      <c r="T158" s="222"/>
    </row>
    <row r="159" spans="1:20" ht="45.75" customHeight="1" x14ac:dyDescent="0.25">
      <c r="A159" s="106" t="s">
        <v>101</v>
      </c>
      <c r="B159" s="107" t="s">
        <v>143</v>
      </c>
      <c r="C159" s="109" t="s">
        <v>56</v>
      </c>
      <c r="D159" s="109">
        <v>3.1</v>
      </c>
      <c r="E159" s="109">
        <v>4.8</v>
      </c>
      <c r="F159" s="109">
        <v>36.5</v>
      </c>
      <c r="G159" s="11">
        <f t="shared" ref="G159:G161" si="57">(9*E159)+4*(F159+D159)</f>
        <v>201.6</v>
      </c>
      <c r="H159" s="109">
        <v>0.22</v>
      </c>
      <c r="I159" s="109">
        <v>6</v>
      </c>
      <c r="J159" s="109">
        <v>142.80000000000001</v>
      </c>
      <c r="K159" s="109">
        <v>0.12</v>
      </c>
      <c r="L159" s="109">
        <v>2.4</v>
      </c>
      <c r="M159" s="109">
        <v>141.19999999999999</v>
      </c>
      <c r="N159" s="109">
        <v>34.22</v>
      </c>
      <c r="O159" s="109">
        <v>164.25</v>
      </c>
      <c r="P159" s="110">
        <v>2.42</v>
      </c>
      <c r="Q159" s="102">
        <v>86.2</v>
      </c>
      <c r="R159" s="102">
        <v>0.01</v>
      </c>
      <c r="S159" s="102">
        <v>5.4000000000000003E-3</v>
      </c>
      <c r="T159" s="102">
        <v>0.47</v>
      </c>
    </row>
    <row r="160" spans="1:20" ht="33.75" customHeight="1" x14ac:dyDescent="0.25">
      <c r="A160" s="154" t="s">
        <v>177</v>
      </c>
      <c r="B160" s="155" t="s">
        <v>178</v>
      </c>
      <c r="C160" s="157">
        <v>200</v>
      </c>
      <c r="D160" s="157">
        <v>7.6</v>
      </c>
      <c r="E160" s="157">
        <v>7.4</v>
      </c>
      <c r="F160" s="157">
        <v>9.2799999999999994</v>
      </c>
      <c r="G160" s="11">
        <f t="shared" si="57"/>
        <v>134.12</v>
      </c>
      <c r="H160" s="157">
        <v>0</v>
      </c>
      <c r="I160" s="157">
        <v>0</v>
      </c>
      <c r="J160" s="157">
        <v>0</v>
      </c>
      <c r="K160" s="157">
        <v>0</v>
      </c>
      <c r="L160" s="157">
        <v>0</v>
      </c>
      <c r="M160" s="157">
        <v>94</v>
      </c>
      <c r="N160" s="157">
        <v>6</v>
      </c>
      <c r="O160" s="157">
        <v>8.24</v>
      </c>
      <c r="P160" s="158">
        <v>0.53</v>
      </c>
      <c r="Q160" s="152">
        <v>114</v>
      </c>
      <c r="R160" s="152">
        <v>0</v>
      </c>
      <c r="S160" s="152">
        <v>0</v>
      </c>
      <c r="T160" s="152">
        <v>0.2</v>
      </c>
    </row>
    <row r="161" spans="1:20" ht="33.75" customHeight="1" x14ac:dyDescent="0.25">
      <c r="A161" s="174" t="s">
        <v>191</v>
      </c>
      <c r="B161" s="1" t="s">
        <v>86</v>
      </c>
      <c r="C161" s="175">
        <v>40</v>
      </c>
      <c r="D161" s="175">
        <f>12.7*0.4</f>
        <v>5.08</v>
      </c>
      <c r="E161" s="175">
        <f>11.5*0.4</f>
        <v>4.6000000000000005</v>
      </c>
      <c r="F161" s="175">
        <f>0.7*0.4</f>
        <v>0.27999999999999997</v>
      </c>
      <c r="G161" s="11">
        <f t="shared" si="57"/>
        <v>62.84</v>
      </c>
      <c r="H161" s="157">
        <v>0.02</v>
      </c>
      <c r="I161" s="157">
        <v>5.5</v>
      </c>
      <c r="J161" s="157">
        <v>0</v>
      </c>
      <c r="K161" s="157">
        <v>0.17899999999999999</v>
      </c>
      <c r="L161" s="157">
        <v>0</v>
      </c>
      <c r="M161" s="157">
        <v>19.73</v>
      </c>
      <c r="N161" s="157">
        <v>12.22</v>
      </c>
      <c r="O161" s="157">
        <v>25.9</v>
      </c>
      <c r="P161" s="157">
        <v>0.7</v>
      </c>
      <c r="Q161" s="152">
        <v>68.400000000000006</v>
      </c>
      <c r="R161" s="152">
        <v>0</v>
      </c>
      <c r="S161" s="152">
        <v>0</v>
      </c>
      <c r="T161" s="152">
        <v>0</v>
      </c>
    </row>
    <row r="162" spans="1:20" ht="24" customHeight="1" x14ac:dyDescent="0.25">
      <c r="A162" s="153" t="s">
        <v>213</v>
      </c>
      <c r="B162" s="3" t="s">
        <v>83</v>
      </c>
      <c r="C162" s="157">
        <v>55</v>
      </c>
      <c r="D162" s="157">
        <v>1.83</v>
      </c>
      <c r="E162" s="157">
        <v>2.15</v>
      </c>
      <c r="F162" s="157">
        <v>49.25</v>
      </c>
      <c r="G162" s="11">
        <f t="shared" ref="G162:G163" si="58">(9*E162)+4*(F162+D162)</f>
        <v>223.67</v>
      </c>
      <c r="H162" s="157">
        <v>0.2</v>
      </c>
      <c r="I162" s="157">
        <v>5.9</v>
      </c>
      <c r="J162" s="157">
        <v>50</v>
      </c>
      <c r="K162" s="157">
        <v>0.1</v>
      </c>
      <c r="L162" s="157">
        <v>0.8</v>
      </c>
      <c r="M162" s="157">
        <v>43</v>
      </c>
      <c r="N162" s="157">
        <v>4</v>
      </c>
      <c r="O162" s="157">
        <v>78.7</v>
      </c>
      <c r="P162" s="158">
        <v>0.124</v>
      </c>
      <c r="Q162" s="152">
        <v>25</v>
      </c>
      <c r="R162" s="152">
        <v>0</v>
      </c>
      <c r="S162" s="152">
        <v>0</v>
      </c>
      <c r="T162" s="152">
        <v>0.5</v>
      </c>
    </row>
    <row r="163" spans="1:20" ht="24" customHeight="1" x14ac:dyDescent="0.25">
      <c r="A163" s="48" t="s">
        <v>93</v>
      </c>
      <c r="B163" s="19" t="s">
        <v>25</v>
      </c>
      <c r="C163" s="21">
        <v>25</v>
      </c>
      <c r="D163" s="21">
        <v>1.52</v>
      </c>
      <c r="E163" s="21">
        <v>0.16</v>
      </c>
      <c r="F163" s="21">
        <v>9.98</v>
      </c>
      <c r="G163" s="11">
        <f t="shared" si="58"/>
        <v>47.44</v>
      </c>
      <c r="H163" s="21">
        <v>0.08</v>
      </c>
      <c r="I163" s="21">
        <v>0.04</v>
      </c>
      <c r="J163" s="21">
        <v>0</v>
      </c>
      <c r="K163" s="21">
        <v>0</v>
      </c>
      <c r="L163" s="21">
        <v>0</v>
      </c>
      <c r="M163" s="21">
        <v>15</v>
      </c>
      <c r="N163" s="21">
        <v>8.1999999999999993</v>
      </c>
      <c r="O163" s="21">
        <v>13</v>
      </c>
      <c r="P163" s="72">
        <v>0.72</v>
      </c>
      <c r="Q163" s="102">
        <v>18.2</v>
      </c>
      <c r="R163" s="102">
        <v>6.0000000000000001E-3</v>
      </c>
      <c r="S163" s="102">
        <v>1E-3</v>
      </c>
      <c r="T163" s="102">
        <v>0</v>
      </c>
    </row>
    <row r="164" spans="1:20" ht="24" customHeight="1" x14ac:dyDescent="0.25">
      <c r="A164" s="225" t="s">
        <v>18</v>
      </c>
      <c r="B164" s="240"/>
      <c r="C164" s="44">
        <v>530</v>
      </c>
      <c r="D164" s="4">
        <f>SUM(D159:D163)</f>
        <v>19.13</v>
      </c>
      <c r="E164" s="4">
        <f t="shared" ref="E164:T164" si="59">SUM(E159:E163)</f>
        <v>19.11</v>
      </c>
      <c r="F164" s="4">
        <f t="shared" si="59"/>
        <v>105.29</v>
      </c>
      <c r="G164" s="9">
        <f t="shared" si="59"/>
        <v>669.67000000000007</v>
      </c>
      <c r="H164" s="5">
        <f t="shared" si="59"/>
        <v>0.52</v>
      </c>
      <c r="I164" s="5">
        <f t="shared" si="59"/>
        <v>17.439999999999998</v>
      </c>
      <c r="J164" s="5">
        <f t="shared" si="59"/>
        <v>192.8</v>
      </c>
      <c r="K164" s="5">
        <f t="shared" si="59"/>
        <v>0.39900000000000002</v>
      </c>
      <c r="L164" s="5">
        <f t="shared" si="59"/>
        <v>3.2</v>
      </c>
      <c r="M164" s="5">
        <f t="shared" si="59"/>
        <v>312.92999999999995</v>
      </c>
      <c r="N164" s="5">
        <f t="shared" si="59"/>
        <v>64.64</v>
      </c>
      <c r="O164" s="5">
        <f t="shared" si="59"/>
        <v>290.09000000000003</v>
      </c>
      <c r="P164" s="73">
        <f t="shared" si="59"/>
        <v>4.4940000000000007</v>
      </c>
      <c r="Q164" s="73">
        <f t="shared" si="59"/>
        <v>311.8</v>
      </c>
      <c r="R164" s="73">
        <f t="shared" si="59"/>
        <v>1.6E-2</v>
      </c>
      <c r="S164" s="73">
        <f t="shared" si="59"/>
        <v>6.4000000000000003E-3</v>
      </c>
      <c r="T164" s="5">
        <f t="shared" si="59"/>
        <v>1.17</v>
      </c>
    </row>
    <row r="165" spans="1:20" ht="24" customHeight="1" x14ac:dyDescent="0.25">
      <c r="A165" s="225" t="s">
        <v>19</v>
      </c>
      <c r="B165" s="236"/>
      <c r="C165" s="236"/>
      <c r="D165" s="236"/>
      <c r="E165" s="236"/>
      <c r="F165" s="236"/>
      <c r="G165" s="236"/>
      <c r="H165" s="236"/>
      <c r="I165" s="236"/>
      <c r="J165" s="236"/>
      <c r="K165" s="236"/>
      <c r="L165" s="236"/>
      <c r="M165" s="236"/>
      <c r="N165" s="236"/>
      <c r="O165" s="236"/>
      <c r="P165" s="236"/>
      <c r="Q165" s="237"/>
      <c r="R165" s="237"/>
      <c r="S165" s="237"/>
      <c r="T165" s="238"/>
    </row>
    <row r="166" spans="1:20" ht="34.15" customHeight="1" x14ac:dyDescent="0.25">
      <c r="A166" s="106" t="s">
        <v>128</v>
      </c>
      <c r="B166" s="16" t="s">
        <v>214</v>
      </c>
      <c r="C166" s="99" t="s">
        <v>31</v>
      </c>
      <c r="D166" s="99">
        <v>8.35</v>
      </c>
      <c r="E166" s="99">
        <v>11.3</v>
      </c>
      <c r="F166" s="99">
        <f>11.57+0.36</f>
        <v>11.93</v>
      </c>
      <c r="G166" s="109">
        <f>F166*4+E166*9+D166*4</f>
        <v>182.82000000000002</v>
      </c>
      <c r="H166" s="99">
        <v>0.13</v>
      </c>
      <c r="I166" s="99">
        <v>13.1</v>
      </c>
      <c r="J166" s="99">
        <v>115.6</v>
      </c>
      <c r="K166" s="99">
        <v>0.54</v>
      </c>
      <c r="L166" s="99">
        <v>1.3</v>
      </c>
      <c r="M166" s="99">
        <v>122.09</v>
      </c>
      <c r="N166" s="99">
        <v>58.9</v>
      </c>
      <c r="O166" s="99">
        <v>104.4</v>
      </c>
      <c r="P166" s="96">
        <v>1.02</v>
      </c>
      <c r="Q166" s="102">
        <v>134.19999999999999</v>
      </c>
      <c r="R166" s="102">
        <v>0.02</v>
      </c>
      <c r="S166" s="102">
        <v>5.0000000000000001E-3</v>
      </c>
      <c r="T166" s="102">
        <v>0.05</v>
      </c>
    </row>
    <row r="167" spans="1:20" ht="46.15" customHeight="1" x14ac:dyDescent="0.25">
      <c r="A167" s="153" t="s">
        <v>173</v>
      </c>
      <c r="B167" s="155" t="s">
        <v>250</v>
      </c>
      <c r="C167" s="157">
        <v>60</v>
      </c>
      <c r="D167" s="175">
        <v>0</v>
      </c>
      <c r="E167" s="175">
        <v>0</v>
      </c>
      <c r="F167" s="175">
        <v>1</v>
      </c>
      <c r="G167" s="11">
        <f t="shared" ref="G167" si="60">(9*E167)+4*(F167+D167)</f>
        <v>4</v>
      </c>
      <c r="H167" s="216">
        <v>0</v>
      </c>
      <c r="I167" s="216">
        <v>0</v>
      </c>
      <c r="J167" s="216">
        <v>35.6</v>
      </c>
      <c r="K167" s="216">
        <v>0</v>
      </c>
      <c r="L167" s="216">
        <v>0</v>
      </c>
      <c r="M167" s="216">
        <v>5</v>
      </c>
      <c r="N167" s="216">
        <v>0</v>
      </c>
      <c r="O167" s="216">
        <v>4</v>
      </c>
      <c r="P167" s="216">
        <v>0.24</v>
      </c>
      <c r="Q167" s="215">
        <v>50.5</v>
      </c>
      <c r="R167" s="215">
        <v>0</v>
      </c>
      <c r="S167" s="215">
        <v>0</v>
      </c>
      <c r="T167" s="215">
        <v>0</v>
      </c>
    </row>
    <row r="168" spans="1:20" ht="24" customHeight="1" x14ac:dyDescent="0.25">
      <c r="A168" s="106" t="s">
        <v>133</v>
      </c>
      <c r="B168" s="107" t="s">
        <v>69</v>
      </c>
      <c r="C168" s="109" t="s">
        <v>32</v>
      </c>
      <c r="D168" s="109">
        <v>16.3</v>
      </c>
      <c r="E168" s="109">
        <v>17.98</v>
      </c>
      <c r="F168" s="109">
        <v>43.6</v>
      </c>
      <c r="G168" s="11">
        <f>(9*E168)+4*(F168+D168)</f>
        <v>401.42</v>
      </c>
      <c r="H168" s="109">
        <v>0</v>
      </c>
      <c r="I168" s="109">
        <v>0.1</v>
      </c>
      <c r="J168" s="109">
        <v>104.4</v>
      </c>
      <c r="K168" s="109">
        <v>0</v>
      </c>
      <c r="L168" s="109">
        <v>2.2799999999999998</v>
      </c>
      <c r="M168" s="109">
        <v>60.95</v>
      </c>
      <c r="N168" s="109">
        <v>4.4000000000000004</v>
      </c>
      <c r="O168" s="109">
        <v>152.24</v>
      </c>
      <c r="P168" s="110">
        <v>0.86</v>
      </c>
      <c r="Q168" s="102">
        <v>164.3</v>
      </c>
      <c r="R168" s="102">
        <v>4.0000000000000001E-3</v>
      </c>
      <c r="S168" s="102">
        <v>6.0000000000000001E-3</v>
      </c>
      <c r="T168" s="102">
        <v>0.7</v>
      </c>
    </row>
    <row r="169" spans="1:20" ht="34.5" customHeight="1" x14ac:dyDescent="0.25">
      <c r="A169" s="48" t="s">
        <v>159</v>
      </c>
      <c r="B169" s="145" t="s">
        <v>215</v>
      </c>
      <c r="C169" s="146">
        <v>200</v>
      </c>
      <c r="D169" s="146">
        <v>0.32</v>
      </c>
      <c r="E169" s="146">
        <v>0.06</v>
      </c>
      <c r="F169" s="146">
        <v>15.66</v>
      </c>
      <c r="G169" s="99">
        <f>F169*4+E169*9+D169*4</f>
        <v>64.459999999999994</v>
      </c>
      <c r="H169" s="109">
        <v>4.8000000000000001E-2</v>
      </c>
      <c r="I169" s="109">
        <v>4</v>
      </c>
      <c r="J169" s="109">
        <v>0</v>
      </c>
      <c r="K169" s="109">
        <v>0</v>
      </c>
      <c r="L169" s="109">
        <v>0</v>
      </c>
      <c r="M169" s="109">
        <v>8.0500000000000007</v>
      </c>
      <c r="N169" s="109">
        <v>5.24</v>
      </c>
      <c r="O169" s="109">
        <v>9.7799999999999994</v>
      </c>
      <c r="P169" s="110">
        <v>0.19</v>
      </c>
      <c r="Q169" s="102">
        <v>5</v>
      </c>
      <c r="R169" s="102">
        <v>0</v>
      </c>
      <c r="S169" s="102">
        <v>0</v>
      </c>
      <c r="T169" s="102">
        <v>0.2</v>
      </c>
    </row>
    <row r="170" spans="1:20" ht="24" customHeight="1" x14ac:dyDescent="0.25">
      <c r="A170" s="48" t="s">
        <v>93</v>
      </c>
      <c r="B170" s="19" t="s">
        <v>25</v>
      </c>
      <c r="C170" s="21">
        <v>25</v>
      </c>
      <c r="D170" s="21">
        <f>1.5*1.52</f>
        <v>2.2800000000000002</v>
      </c>
      <c r="E170" s="21">
        <f>1.5*0.16</f>
        <v>0.24</v>
      </c>
      <c r="F170" s="43">
        <f>1.5*10.03</f>
        <v>15.044999999999998</v>
      </c>
      <c r="G170" s="11">
        <f>(9*E170)+4*(F170+D170)</f>
        <v>71.459999999999994</v>
      </c>
      <c r="H170" s="21">
        <v>0.12</v>
      </c>
      <c r="I170" s="21">
        <v>0.4</v>
      </c>
      <c r="J170" s="21">
        <v>0</v>
      </c>
      <c r="K170" s="21">
        <v>0</v>
      </c>
      <c r="L170" s="21">
        <v>0</v>
      </c>
      <c r="M170" s="21">
        <v>22.5</v>
      </c>
      <c r="N170" s="21">
        <v>9.6</v>
      </c>
      <c r="O170" s="21">
        <v>36.799999999999997</v>
      </c>
      <c r="P170" s="72">
        <v>1.08</v>
      </c>
      <c r="Q170" s="102">
        <v>27.3</v>
      </c>
      <c r="R170" s="102">
        <v>8.9999999999999993E-3</v>
      </c>
      <c r="S170" s="102">
        <v>0</v>
      </c>
      <c r="T170" s="102">
        <v>0</v>
      </c>
    </row>
    <row r="171" spans="1:20" ht="24" customHeight="1" x14ac:dyDescent="0.25">
      <c r="A171" s="48" t="s">
        <v>94</v>
      </c>
      <c r="B171" s="3" t="s">
        <v>27</v>
      </c>
      <c r="C171" s="109">
        <v>25</v>
      </c>
      <c r="D171" s="109">
        <v>1.32</v>
      </c>
      <c r="E171" s="109">
        <v>0.24</v>
      </c>
      <c r="F171" s="109">
        <v>8.36</v>
      </c>
      <c r="G171" s="109">
        <f>(9*E171)+4*(F171+D171)</f>
        <v>40.879999999999995</v>
      </c>
      <c r="H171" s="109">
        <v>0.03</v>
      </c>
      <c r="I171" s="109">
        <v>0</v>
      </c>
      <c r="J171" s="109">
        <v>0</v>
      </c>
      <c r="K171" s="109">
        <v>0</v>
      </c>
      <c r="L171" s="109">
        <v>0</v>
      </c>
      <c r="M171" s="109">
        <v>5.08</v>
      </c>
      <c r="N171" s="109">
        <v>4.96</v>
      </c>
      <c r="O171" s="109">
        <v>40</v>
      </c>
      <c r="P171" s="110">
        <v>0.4</v>
      </c>
      <c r="Q171" s="102">
        <v>16.2</v>
      </c>
      <c r="R171" s="102">
        <v>6.0000000000000001E-3</v>
      </c>
      <c r="S171" s="102">
        <v>1E-3</v>
      </c>
      <c r="T171" s="102">
        <v>0</v>
      </c>
    </row>
    <row r="172" spans="1:20" ht="24" customHeight="1" x14ac:dyDescent="0.25">
      <c r="A172" s="225" t="s">
        <v>18</v>
      </c>
      <c r="B172" s="266"/>
      <c r="C172" s="101">
        <v>735</v>
      </c>
      <c r="D172" s="4">
        <f>SUM(D166:D171)</f>
        <v>28.57</v>
      </c>
      <c r="E172" s="4">
        <f>SUM(E166:E171)</f>
        <v>29.819999999999997</v>
      </c>
      <c r="F172" s="9">
        <f>SUM(F166:F171)</f>
        <v>95.594999999999999</v>
      </c>
      <c r="G172" s="4">
        <f>SUM(G166:G171)</f>
        <v>765.04000000000008</v>
      </c>
      <c r="H172" s="13">
        <f t="shared" ref="H172:T172" si="61">SUM(H166:H171)</f>
        <v>0.32799999999999996</v>
      </c>
      <c r="I172" s="13">
        <f t="shared" si="61"/>
        <v>17.599999999999998</v>
      </c>
      <c r="J172" s="13">
        <f t="shared" si="61"/>
        <v>255.6</v>
      </c>
      <c r="K172" s="13">
        <f t="shared" si="61"/>
        <v>0.54</v>
      </c>
      <c r="L172" s="13">
        <f t="shared" si="61"/>
        <v>3.58</v>
      </c>
      <c r="M172" s="13">
        <f>SUM(M166:M171)</f>
        <v>223.67000000000004</v>
      </c>
      <c r="N172" s="13">
        <f t="shared" si="61"/>
        <v>83.09999999999998</v>
      </c>
      <c r="O172" s="13">
        <f t="shared" si="61"/>
        <v>347.21999999999997</v>
      </c>
      <c r="P172" s="112">
        <f t="shared" si="61"/>
        <v>3.79</v>
      </c>
      <c r="Q172" s="112">
        <f>SUM(Q166:Q171)</f>
        <v>397.5</v>
      </c>
      <c r="R172" s="112">
        <f>SUM(R166:R171)</f>
        <v>3.9E-2</v>
      </c>
      <c r="S172" s="112">
        <f t="shared" si="61"/>
        <v>1.2E-2</v>
      </c>
      <c r="T172" s="13">
        <f t="shared" si="61"/>
        <v>0.95</v>
      </c>
    </row>
    <row r="173" spans="1:20" ht="24" customHeight="1" x14ac:dyDescent="0.25">
      <c r="A173" s="229" t="s">
        <v>40</v>
      </c>
      <c r="B173" s="230"/>
      <c r="C173" s="230"/>
      <c r="D173" s="230"/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O173" s="230"/>
      <c r="P173" s="230"/>
      <c r="Q173" s="221"/>
      <c r="R173" s="221"/>
      <c r="S173" s="221"/>
      <c r="T173" s="222"/>
    </row>
    <row r="174" spans="1:20" ht="35.450000000000003" customHeight="1" x14ac:dyDescent="0.25">
      <c r="A174" s="53" t="s">
        <v>118</v>
      </c>
      <c r="B174" s="107" t="s">
        <v>42</v>
      </c>
      <c r="C174" s="109">
        <v>200</v>
      </c>
      <c r="D174" s="109">
        <v>5.6</v>
      </c>
      <c r="E174" s="109">
        <v>5</v>
      </c>
      <c r="F174" s="109">
        <v>18.989999999999998</v>
      </c>
      <c r="G174" s="109">
        <v>145.63999999999999</v>
      </c>
      <c r="H174" s="109">
        <v>0.06</v>
      </c>
      <c r="I174" s="109">
        <v>2</v>
      </c>
      <c r="J174" s="109">
        <v>24.6</v>
      </c>
      <c r="K174" s="109">
        <v>0.12</v>
      </c>
      <c r="L174" s="109">
        <v>0</v>
      </c>
      <c r="M174" s="109">
        <v>248</v>
      </c>
      <c r="N174" s="109">
        <v>30</v>
      </c>
      <c r="O174" s="109">
        <v>190</v>
      </c>
      <c r="P174" s="110">
        <v>0.2</v>
      </c>
      <c r="Q174" s="102">
        <v>0</v>
      </c>
      <c r="R174" s="102">
        <v>0</v>
      </c>
      <c r="S174" s="102">
        <v>0</v>
      </c>
      <c r="T174" s="102">
        <v>0</v>
      </c>
    </row>
    <row r="175" spans="1:20" ht="35.450000000000003" customHeight="1" x14ac:dyDescent="0.25">
      <c r="A175" s="153" t="s">
        <v>132</v>
      </c>
      <c r="B175" s="155" t="s">
        <v>71</v>
      </c>
      <c r="C175" s="157" t="s">
        <v>85</v>
      </c>
      <c r="D175" s="2">
        <v>5.89</v>
      </c>
      <c r="E175" s="2">
        <v>5.74</v>
      </c>
      <c r="F175" s="2">
        <v>16.3</v>
      </c>
      <c r="G175" s="2">
        <f>F175*4+E175*9+D175*4</f>
        <v>140.42000000000002</v>
      </c>
      <c r="H175" s="157">
        <v>0.04</v>
      </c>
      <c r="I175" s="157">
        <v>8</v>
      </c>
      <c r="J175" s="157">
        <v>74.2</v>
      </c>
      <c r="K175" s="157">
        <v>5.6000000000000001E-2</v>
      </c>
      <c r="L175" s="157">
        <v>0.27</v>
      </c>
      <c r="M175" s="157">
        <v>67.09</v>
      </c>
      <c r="N175" s="157">
        <v>12.85</v>
      </c>
      <c r="O175" s="157">
        <v>17.82</v>
      </c>
      <c r="P175" s="158">
        <v>0.35199999999999998</v>
      </c>
      <c r="Q175" s="152">
        <v>102</v>
      </c>
      <c r="R175" s="152">
        <v>1.4999999999999999E-2</v>
      </c>
      <c r="S175" s="152">
        <v>1.2999999999999999E-3</v>
      </c>
      <c r="T175" s="152">
        <v>1</v>
      </c>
    </row>
    <row r="176" spans="1:20" ht="24" customHeight="1" x14ac:dyDescent="0.25">
      <c r="A176" s="47" t="s">
        <v>195</v>
      </c>
      <c r="B176" s="1" t="s">
        <v>216</v>
      </c>
      <c r="C176" s="175">
        <v>40</v>
      </c>
      <c r="D176" s="185">
        <v>2.4</v>
      </c>
      <c r="E176" s="185">
        <v>3.3</v>
      </c>
      <c r="F176" s="185">
        <v>29.2</v>
      </c>
      <c r="G176" s="2">
        <f>F176*4+E176*9+D176*4</f>
        <v>156.1</v>
      </c>
      <c r="H176" s="175">
        <v>0.09</v>
      </c>
      <c r="I176" s="175">
        <v>3.1</v>
      </c>
      <c r="J176" s="175">
        <v>7.5</v>
      </c>
      <c r="K176" s="175">
        <v>3.4000000000000002E-2</v>
      </c>
      <c r="L176" s="175">
        <v>1.2</v>
      </c>
      <c r="M176" s="175">
        <v>16.05</v>
      </c>
      <c r="N176" s="175">
        <v>6.7</v>
      </c>
      <c r="O176" s="175">
        <v>28.35</v>
      </c>
      <c r="P176" s="177">
        <v>1.06</v>
      </c>
      <c r="Q176" s="178">
        <v>66.7</v>
      </c>
      <c r="R176" s="178">
        <v>0.01</v>
      </c>
      <c r="S176" s="178">
        <v>3.0000000000000001E-3</v>
      </c>
      <c r="T176" s="178">
        <v>0.28000000000000003</v>
      </c>
    </row>
    <row r="177" spans="1:20" ht="24" customHeight="1" x14ac:dyDescent="0.25">
      <c r="A177" s="244" t="s">
        <v>18</v>
      </c>
      <c r="B177" s="245"/>
      <c r="C177" s="101">
        <v>340</v>
      </c>
      <c r="D177" s="9">
        <f t="shared" ref="D177:H177" si="62">SUM(D174:D176)</f>
        <v>13.889999999999999</v>
      </c>
      <c r="E177" s="9">
        <f t="shared" si="62"/>
        <v>14.04</v>
      </c>
      <c r="F177" s="9">
        <f t="shared" si="62"/>
        <v>64.489999999999995</v>
      </c>
      <c r="G177" s="9">
        <f t="shared" si="62"/>
        <v>442.15999999999997</v>
      </c>
      <c r="H177" s="13">
        <f t="shared" si="62"/>
        <v>0.19</v>
      </c>
      <c r="I177" s="13">
        <f t="shared" ref="I177:T177" si="63">SUM(I174:I176)</f>
        <v>13.1</v>
      </c>
      <c r="J177" s="13">
        <f t="shared" si="63"/>
        <v>106.30000000000001</v>
      </c>
      <c r="K177" s="13">
        <f t="shared" si="63"/>
        <v>0.21</v>
      </c>
      <c r="L177" s="13">
        <f t="shared" si="63"/>
        <v>1.47</v>
      </c>
      <c r="M177" s="13">
        <f t="shared" si="63"/>
        <v>331.14000000000004</v>
      </c>
      <c r="N177" s="13">
        <f t="shared" si="63"/>
        <v>49.550000000000004</v>
      </c>
      <c r="O177" s="13">
        <f t="shared" si="63"/>
        <v>236.17</v>
      </c>
      <c r="P177" s="112">
        <f t="shared" si="63"/>
        <v>1.6120000000000001</v>
      </c>
      <c r="Q177" s="112">
        <f t="shared" si="63"/>
        <v>168.7</v>
      </c>
      <c r="R177" s="112">
        <f t="shared" si="63"/>
        <v>2.5000000000000001E-2</v>
      </c>
      <c r="S177" s="112">
        <f t="shared" si="63"/>
        <v>4.3E-3</v>
      </c>
      <c r="T177" s="13">
        <f t="shared" si="63"/>
        <v>1.28</v>
      </c>
    </row>
    <row r="178" spans="1:20" ht="24" customHeight="1" x14ac:dyDescent="0.25">
      <c r="A178" s="225" t="s">
        <v>20</v>
      </c>
      <c r="B178" s="226"/>
      <c r="C178" s="101">
        <f>+C164+C172+C177</f>
        <v>1605</v>
      </c>
      <c r="D178" s="9">
        <f>D177+D172+D164</f>
        <v>61.59</v>
      </c>
      <c r="E178" s="9">
        <f>E177+E172+E164</f>
        <v>62.97</v>
      </c>
      <c r="F178" s="9">
        <f>F177+F172+F164</f>
        <v>265.375</v>
      </c>
      <c r="G178" s="9">
        <f>G177+G172+G164</f>
        <v>1876.8700000000001</v>
      </c>
      <c r="H178" s="38">
        <f t="shared" ref="H178:T178" si="64">H177+H172+H164</f>
        <v>1.038</v>
      </c>
      <c r="I178" s="38">
        <f t="shared" si="64"/>
        <v>48.139999999999993</v>
      </c>
      <c r="J178" s="38">
        <f t="shared" si="64"/>
        <v>554.70000000000005</v>
      </c>
      <c r="K178" s="38">
        <f t="shared" si="64"/>
        <v>1.149</v>
      </c>
      <c r="L178" s="38">
        <f t="shared" si="64"/>
        <v>8.25</v>
      </c>
      <c r="M178" s="38">
        <f t="shared" si="64"/>
        <v>867.74</v>
      </c>
      <c r="N178" s="38">
        <f t="shared" si="64"/>
        <v>197.28999999999996</v>
      </c>
      <c r="O178" s="38">
        <f t="shared" si="64"/>
        <v>873.48</v>
      </c>
      <c r="P178" s="77">
        <f t="shared" si="64"/>
        <v>9.8960000000000008</v>
      </c>
      <c r="Q178" s="77">
        <f>Q177+Q172+Q164</f>
        <v>878</v>
      </c>
      <c r="R178" s="77">
        <f t="shared" si="64"/>
        <v>0.08</v>
      </c>
      <c r="S178" s="77">
        <f t="shared" si="64"/>
        <v>2.2700000000000001E-2</v>
      </c>
      <c r="T178" s="38">
        <f t="shared" si="64"/>
        <v>3.4</v>
      </c>
    </row>
    <row r="179" spans="1:20" ht="24" customHeight="1" x14ac:dyDescent="0.25">
      <c r="A179" s="275" t="s">
        <v>22</v>
      </c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M179" s="276"/>
      <c r="N179" s="276"/>
      <c r="O179" s="276"/>
      <c r="P179" s="276"/>
      <c r="Q179" s="221"/>
      <c r="R179" s="221"/>
      <c r="S179" s="221"/>
      <c r="T179" s="222"/>
    </row>
    <row r="180" spans="1:20" ht="24" customHeight="1" x14ac:dyDescent="0.25">
      <c r="A180" s="229" t="s">
        <v>17</v>
      </c>
      <c r="B180" s="230"/>
      <c r="C180" s="230"/>
      <c r="D180" s="230"/>
      <c r="E180" s="230"/>
      <c r="F180" s="230"/>
      <c r="G180" s="230"/>
      <c r="H180" s="230"/>
      <c r="I180" s="230"/>
      <c r="J180" s="230"/>
      <c r="K180" s="230"/>
      <c r="L180" s="230"/>
      <c r="M180" s="230"/>
      <c r="N180" s="230"/>
      <c r="O180" s="230"/>
      <c r="P180" s="230"/>
      <c r="Q180" s="221"/>
      <c r="R180" s="221"/>
      <c r="S180" s="221"/>
      <c r="T180" s="222"/>
    </row>
    <row r="181" spans="1:20" ht="36.75" customHeight="1" x14ac:dyDescent="0.25">
      <c r="A181" s="154" t="s">
        <v>101</v>
      </c>
      <c r="B181" s="155" t="s">
        <v>145</v>
      </c>
      <c r="C181" s="157" t="s">
        <v>56</v>
      </c>
      <c r="D181" s="157">
        <v>7.97</v>
      </c>
      <c r="E181" s="157">
        <v>12.9</v>
      </c>
      <c r="F181" s="157">
        <v>23.39</v>
      </c>
      <c r="G181" s="157">
        <f>(9*E181)+4*(F181+D181)</f>
        <v>241.54000000000002</v>
      </c>
      <c r="H181" s="157">
        <v>0.28000000000000003</v>
      </c>
      <c r="I181" s="157">
        <v>0.6</v>
      </c>
      <c r="J181" s="157">
        <v>144.6</v>
      </c>
      <c r="K181" s="157">
        <v>0.122</v>
      </c>
      <c r="L181" s="157">
        <v>0</v>
      </c>
      <c r="M181" s="157">
        <v>164.21</v>
      </c>
      <c r="N181" s="157">
        <v>28.76</v>
      </c>
      <c r="O181" s="157">
        <v>157.78</v>
      </c>
      <c r="P181" s="158">
        <v>0.74</v>
      </c>
      <c r="Q181" s="152">
        <v>143.80000000000001</v>
      </c>
      <c r="R181" s="152">
        <v>4.0000000000000001E-3</v>
      </c>
      <c r="S181" s="152">
        <v>1.5E-3</v>
      </c>
      <c r="T181" s="152">
        <v>1.2999999999999999E-2</v>
      </c>
    </row>
    <row r="182" spans="1:20" ht="31.5" customHeight="1" x14ac:dyDescent="0.25">
      <c r="A182" s="48" t="s">
        <v>98</v>
      </c>
      <c r="B182" s="155" t="s">
        <v>80</v>
      </c>
      <c r="C182" s="157" t="s">
        <v>81</v>
      </c>
      <c r="D182" s="157">
        <v>8.7899999999999991</v>
      </c>
      <c r="E182" s="157">
        <v>6.22</v>
      </c>
      <c r="F182" s="157">
        <v>28</v>
      </c>
      <c r="G182" s="157">
        <f>(9*E182)+4*(F182+D182)</f>
        <v>203.14</v>
      </c>
      <c r="H182" s="157">
        <v>0.03</v>
      </c>
      <c r="I182" s="157">
        <v>0.03</v>
      </c>
      <c r="J182" s="157">
        <v>0.5</v>
      </c>
      <c r="K182" s="157">
        <v>0.18</v>
      </c>
      <c r="L182" s="157">
        <v>0.05</v>
      </c>
      <c r="M182" s="157">
        <v>33</v>
      </c>
      <c r="N182" s="157">
        <v>9</v>
      </c>
      <c r="O182" s="157">
        <v>11</v>
      </c>
      <c r="P182" s="158">
        <v>0.6</v>
      </c>
      <c r="Q182" s="152">
        <v>12</v>
      </c>
      <c r="R182" s="152">
        <v>0</v>
      </c>
      <c r="S182" s="152">
        <v>1E-3</v>
      </c>
      <c r="T182" s="152">
        <v>0.01</v>
      </c>
    </row>
    <row r="183" spans="1:20" ht="24" customHeight="1" x14ac:dyDescent="0.25">
      <c r="A183" s="115"/>
      <c r="B183" s="155" t="s">
        <v>192</v>
      </c>
      <c r="C183" s="157">
        <v>30</v>
      </c>
      <c r="D183" s="157">
        <v>1.2</v>
      </c>
      <c r="E183" s="157">
        <v>0.7</v>
      </c>
      <c r="F183" s="157">
        <v>12.6</v>
      </c>
      <c r="G183" s="157">
        <f>(9*E183)+4*(F183+D183)</f>
        <v>61.499999999999993</v>
      </c>
      <c r="H183" s="157">
        <v>0.03</v>
      </c>
      <c r="I183" s="157">
        <v>8.4</v>
      </c>
      <c r="J183" s="157">
        <v>50</v>
      </c>
      <c r="K183" s="157">
        <v>0</v>
      </c>
      <c r="L183" s="157">
        <v>2.41</v>
      </c>
      <c r="M183" s="157">
        <v>89.7</v>
      </c>
      <c r="N183" s="157">
        <v>16</v>
      </c>
      <c r="O183" s="157">
        <v>91.3</v>
      </c>
      <c r="P183" s="158">
        <v>0.08</v>
      </c>
      <c r="Q183" s="152">
        <v>57.4</v>
      </c>
      <c r="R183" s="152">
        <v>0.01</v>
      </c>
      <c r="S183" s="152">
        <v>3.5000000000000001E-3</v>
      </c>
      <c r="T183" s="152">
        <v>0.55000000000000004</v>
      </c>
    </row>
    <row r="184" spans="1:20" ht="30.75" customHeight="1" x14ac:dyDescent="0.25">
      <c r="A184" s="154" t="s">
        <v>75</v>
      </c>
      <c r="B184" s="155" t="s">
        <v>160</v>
      </c>
      <c r="C184" s="157" t="s">
        <v>56</v>
      </c>
      <c r="D184" s="157">
        <v>0</v>
      </c>
      <c r="E184" s="157">
        <v>0</v>
      </c>
      <c r="F184" s="157">
        <v>9.98</v>
      </c>
      <c r="G184" s="157">
        <f>(9*E184)+4*(F184+D184)</f>
        <v>39.92</v>
      </c>
      <c r="H184" s="157">
        <v>0</v>
      </c>
      <c r="I184" s="157">
        <v>0</v>
      </c>
      <c r="J184" s="157">
        <v>0</v>
      </c>
      <c r="K184" s="157">
        <v>0</v>
      </c>
      <c r="L184" s="157">
        <v>0</v>
      </c>
      <c r="M184" s="157">
        <v>12</v>
      </c>
      <c r="N184" s="157">
        <v>6</v>
      </c>
      <c r="O184" s="157">
        <v>8.24</v>
      </c>
      <c r="P184" s="158">
        <v>0.86</v>
      </c>
      <c r="Q184" s="152">
        <v>24</v>
      </c>
      <c r="R184" s="152">
        <v>0</v>
      </c>
      <c r="S184" s="152">
        <v>0</v>
      </c>
      <c r="T184" s="152">
        <v>0.2</v>
      </c>
    </row>
    <row r="185" spans="1:20" ht="24" customHeight="1" x14ac:dyDescent="0.25">
      <c r="A185" s="48" t="s">
        <v>93</v>
      </c>
      <c r="B185" s="155" t="s">
        <v>25</v>
      </c>
      <c r="C185" s="157">
        <v>25</v>
      </c>
      <c r="D185" s="21">
        <v>1.52</v>
      </c>
      <c r="E185" s="21">
        <v>0.16</v>
      </c>
      <c r="F185" s="21">
        <v>20.09</v>
      </c>
      <c r="G185" s="11">
        <f t="shared" ref="G185" si="65">(9*E185)+4*(F185+D185)</f>
        <v>87.88</v>
      </c>
      <c r="H185" s="21">
        <v>0.08</v>
      </c>
      <c r="I185" s="21">
        <v>0.04</v>
      </c>
      <c r="J185" s="21">
        <v>0</v>
      </c>
      <c r="K185" s="21">
        <v>0</v>
      </c>
      <c r="L185" s="21">
        <v>0</v>
      </c>
      <c r="M185" s="21">
        <v>15</v>
      </c>
      <c r="N185" s="21">
        <v>8.1999999999999993</v>
      </c>
      <c r="O185" s="21">
        <v>13</v>
      </c>
      <c r="P185" s="72">
        <v>0.72</v>
      </c>
      <c r="Q185" s="152">
        <v>18.2</v>
      </c>
      <c r="R185" s="152">
        <v>6.0000000000000001E-3</v>
      </c>
      <c r="S185" s="152">
        <v>1E-3</v>
      </c>
      <c r="T185" s="152">
        <v>0</v>
      </c>
    </row>
    <row r="186" spans="1:20" ht="24" customHeight="1" x14ac:dyDescent="0.25">
      <c r="A186" s="225" t="s">
        <v>18</v>
      </c>
      <c r="B186" s="243"/>
      <c r="C186" s="44">
        <v>525</v>
      </c>
      <c r="D186" s="9">
        <f>SUM(D181:D185)</f>
        <v>19.479999999999997</v>
      </c>
      <c r="E186" s="9">
        <f t="shared" ref="E186:T186" si="66">SUM(E181:E185)</f>
        <v>19.98</v>
      </c>
      <c r="F186" s="9">
        <f t="shared" si="66"/>
        <v>94.06</v>
      </c>
      <c r="G186" s="9">
        <f>SUM(G181:G185)</f>
        <v>633.98</v>
      </c>
      <c r="H186" s="10">
        <f t="shared" si="66"/>
        <v>0.4200000000000001</v>
      </c>
      <c r="I186" s="10">
        <f t="shared" si="66"/>
        <v>9.07</v>
      </c>
      <c r="J186" s="10">
        <f>SUM(J181:J185)</f>
        <v>195.1</v>
      </c>
      <c r="K186" s="10">
        <f t="shared" si="66"/>
        <v>0.30199999999999999</v>
      </c>
      <c r="L186" s="10">
        <f t="shared" si="66"/>
        <v>2.46</v>
      </c>
      <c r="M186" s="10">
        <f t="shared" si="66"/>
        <v>313.91000000000003</v>
      </c>
      <c r="N186" s="10">
        <f t="shared" si="66"/>
        <v>67.960000000000008</v>
      </c>
      <c r="O186" s="10">
        <f t="shared" si="66"/>
        <v>281.32</v>
      </c>
      <c r="P186" s="74">
        <f t="shared" si="66"/>
        <v>3</v>
      </c>
      <c r="Q186" s="74">
        <f t="shared" si="66"/>
        <v>255.4</v>
      </c>
      <c r="R186" s="74">
        <f>SUM(R181:R185)</f>
        <v>0.02</v>
      </c>
      <c r="S186" s="95">
        <f>SUM(S181:S185)</f>
        <v>7.0000000000000001E-3</v>
      </c>
      <c r="T186" s="10">
        <f t="shared" si="66"/>
        <v>0.77300000000000013</v>
      </c>
    </row>
    <row r="187" spans="1:20" ht="24" customHeight="1" x14ac:dyDescent="0.25">
      <c r="A187" s="229" t="s">
        <v>19</v>
      </c>
      <c r="B187" s="230"/>
      <c r="C187" s="230"/>
      <c r="D187" s="230"/>
      <c r="E187" s="230"/>
      <c r="F187" s="230"/>
      <c r="G187" s="230"/>
      <c r="H187" s="230"/>
      <c r="I187" s="230"/>
      <c r="J187" s="230"/>
      <c r="K187" s="230"/>
      <c r="L187" s="230"/>
      <c r="M187" s="230"/>
      <c r="N187" s="230"/>
      <c r="O187" s="230"/>
      <c r="P187" s="230"/>
      <c r="Q187" s="221"/>
      <c r="R187" s="221"/>
      <c r="S187" s="221"/>
      <c r="T187" s="222"/>
    </row>
    <row r="188" spans="1:20" ht="32.1" customHeight="1" x14ac:dyDescent="0.25">
      <c r="A188" s="153" t="s">
        <v>124</v>
      </c>
      <c r="B188" s="155" t="s">
        <v>137</v>
      </c>
      <c r="C188" s="157" t="s">
        <v>38</v>
      </c>
      <c r="D188" s="157">
        <v>9.7799999999999994</v>
      </c>
      <c r="E188" s="157">
        <v>13.2</v>
      </c>
      <c r="F188" s="157">
        <v>28.3</v>
      </c>
      <c r="G188" s="157">
        <f>F188*4+E188*9+D188*4</f>
        <v>271.12</v>
      </c>
      <c r="H188" s="157">
        <v>0.13</v>
      </c>
      <c r="I188" s="157">
        <v>9.1</v>
      </c>
      <c r="J188" s="157">
        <v>33.6</v>
      </c>
      <c r="K188" s="157">
        <v>5.3999999999999999E-2</v>
      </c>
      <c r="L188" s="157">
        <v>0</v>
      </c>
      <c r="M188" s="157">
        <v>128.69999999999999</v>
      </c>
      <c r="N188" s="157">
        <v>32.9</v>
      </c>
      <c r="O188" s="157">
        <v>104.4</v>
      </c>
      <c r="P188" s="158">
        <v>1.02</v>
      </c>
      <c r="Q188" s="152">
        <v>89.5</v>
      </c>
      <c r="R188" s="152">
        <v>3.0000000000000001E-3</v>
      </c>
      <c r="S188" s="152">
        <v>2.5000000000000001E-3</v>
      </c>
      <c r="T188" s="152">
        <v>0.183</v>
      </c>
    </row>
    <row r="189" spans="1:20" ht="36.75" customHeight="1" x14ac:dyDescent="0.25">
      <c r="A189" s="186" t="s">
        <v>217</v>
      </c>
      <c r="B189" s="187" t="s">
        <v>218</v>
      </c>
      <c r="C189" s="181">
        <v>90</v>
      </c>
      <c r="D189" s="175">
        <v>7.48</v>
      </c>
      <c r="E189" s="175">
        <v>3.87</v>
      </c>
      <c r="F189" s="175">
        <v>11.33</v>
      </c>
      <c r="G189" s="157">
        <f t="shared" ref="G189:G194" si="67">F189*4+E189*9+D189*4</f>
        <v>110.07000000000001</v>
      </c>
      <c r="H189" s="175">
        <v>0.09</v>
      </c>
      <c r="I189" s="175">
        <v>12.45</v>
      </c>
      <c r="J189" s="175">
        <v>83.2</v>
      </c>
      <c r="K189" s="175">
        <v>0.23100000000000001</v>
      </c>
      <c r="L189" s="175">
        <v>0.4</v>
      </c>
      <c r="M189" s="175">
        <v>159.4</v>
      </c>
      <c r="N189" s="175">
        <v>22.16</v>
      </c>
      <c r="O189" s="175">
        <v>37.61</v>
      </c>
      <c r="P189" s="177">
        <v>0.98</v>
      </c>
      <c r="Q189" s="178">
        <v>261</v>
      </c>
      <c r="R189" s="178">
        <v>1.2E-2</v>
      </c>
      <c r="S189" s="178">
        <v>2.5999999999999999E-3</v>
      </c>
      <c r="T189" s="178">
        <v>0.48</v>
      </c>
    </row>
    <row r="190" spans="1:20" ht="36.75" customHeight="1" x14ac:dyDescent="0.25">
      <c r="A190" s="186" t="s">
        <v>219</v>
      </c>
      <c r="B190" s="1" t="s">
        <v>220</v>
      </c>
      <c r="C190" s="175">
        <v>150</v>
      </c>
      <c r="D190" s="175">
        <v>10.24</v>
      </c>
      <c r="E190" s="175">
        <v>9.98</v>
      </c>
      <c r="F190" s="175">
        <v>34.799999999999997</v>
      </c>
      <c r="G190" s="157">
        <f t="shared" si="67"/>
        <v>269.97999999999996</v>
      </c>
      <c r="H190" s="175">
        <v>0.11</v>
      </c>
      <c r="I190" s="175">
        <v>5.7</v>
      </c>
      <c r="J190" s="175">
        <v>24.1</v>
      </c>
      <c r="K190" s="175">
        <v>0.115</v>
      </c>
      <c r="L190" s="175">
        <v>4.45</v>
      </c>
      <c r="M190" s="175">
        <v>100.4</v>
      </c>
      <c r="N190" s="175">
        <v>23.4</v>
      </c>
      <c r="O190" s="175">
        <v>178.6</v>
      </c>
      <c r="P190" s="177">
        <v>0.87</v>
      </c>
      <c r="Q190" s="178">
        <v>78.5</v>
      </c>
      <c r="R190" s="178">
        <v>6.0000000000000001E-3</v>
      </c>
      <c r="S190" s="178">
        <v>8.9999999999999993E-3</v>
      </c>
      <c r="T190" s="178">
        <v>0.36</v>
      </c>
    </row>
    <row r="191" spans="1:20" ht="34.5" customHeight="1" x14ac:dyDescent="0.25">
      <c r="A191" s="186" t="s">
        <v>222</v>
      </c>
      <c r="B191" s="1" t="s">
        <v>221</v>
      </c>
      <c r="C191" s="188">
        <v>60</v>
      </c>
      <c r="D191" s="175">
        <v>1.1000000000000001</v>
      </c>
      <c r="E191" s="175">
        <v>2.5</v>
      </c>
      <c r="F191" s="175">
        <v>3.8</v>
      </c>
      <c r="G191" s="157">
        <f t="shared" si="67"/>
        <v>42.1</v>
      </c>
      <c r="H191" s="175">
        <v>2.8000000000000001E-2</v>
      </c>
      <c r="I191" s="175">
        <v>2.1</v>
      </c>
      <c r="J191" s="175">
        <v>38.1</v>
      </c>
      <c r="K191" s="175">
        <v>0</v>
      </c>
      <c r="L191" s="175">
        <v>0</v>
      </c>
      <c r="M191" s="175">
        <v>8</v>
      </c>
      <c r="N191" s="175">
        <v>4</v>
      </c>
      <c r="O191" s="177">
        <v>14.2</v>
      </c>
      <c r="P191" s="189">
        <v>0.01</v>
      </c>
      <c r="Q191" s="178">
        <v>8.6</v>
      </c>
      <c r="R191" s="178">
        <v>0.01</v>
      </c>
      <c r="S191" s="178">
        <v>0</v>
      </c>
      <c r="T191" s="178">
        <v>0.36</v>
      </c>
    </row>
    <row r="192" spans="1:20" ht="24" customHeight="1" x14ac:dyDescent="0.25">
      <c r="A192" s="47"/>
      <c r="B192" s="155" t="s">
        <v>66</v>
      </c>
      <c r="C192" s="157">
        <v>200</v>
      </c>
      <c r="D192" s="157">
        <v>0</v>
      </c>
      <c r="E192" s="157">
        <v>0</v>
      </c>
      <c r="F192" s="157">
        <v>22</v>
      </c>
      <c r="G192" s="157">
        <f t="shared" si="67"/>
        <v>88</v>
      </c>
      <c r="H192" s="35">
        <v>7.0000000000000007E-2</v>
      </c>
      <c r="I192" s="35">
        <v>0.01</v>
      </c>
      <c r="J192" s="35">
        <v>100</v>
      </c>
      <c r="K192" s="35">
        <v>0.09</v>
      </c>
      <c r="L192" s="35">
        <v>0</v>
      </c>
      <c r="M192" s="35">
        <v>21.48</v>
      </c>
      <c r="N192" s="35">
        <v>8.4600000000000009</v>
      </c>
      <c r="O192" s="35">
        <v>49.79</v>
      </c>
      <c r="P192" s="71">
        <v>0.66</v>
      </c>
      <c r="Q192" s="152">
        <v>24</v>
      </c>
      <c r="R192" s="152">
        <v>0</v>
      </c>
      <c r="S192" s="152">
        <v>0</v>
      </c>
      <c r="T192" s="152">
        <v>4.0000000000000001E-3</v>
      </c>
    </row>
    <row r="193" spans="1:20" ht="24" customHeight="1" x14ac:dyDescent="0.25">
      <c r="A193" s="48" t="s">
        <v>93</v>
      </c>
      <c r="B193" s="155" t="s">
        <v>25</v>
      </c>
      <c r="C193" s="157">
        <v>25</v>
      </c>
      <c r="D193" s="21">
        <v>1.52</v>
      </c>
      <c r="E193" s="21">
        <v>0.16</v>
      </c>
      <c r="F193" s="21">
        <v>9.98</v>
      </c>
      <c r="G193" s="157">
        <f t="shared" si="67"/>
        <v>47.44</v>
      </c>
      <c r="H193" s="21">
        <v>0.08</v>
      </c>
      <c r="I193" s="21">
        <v>0.04</v>
      </c>
      <c r="J193" s="21">
        <v>0</v>
      </c>
      <c r="K193" s="21">
        <v>0</v>
      </c>
      <c r="L193" s="21">
        <v>0</v>
      </c>
      <c r="M193" s="21">
        <v>15</v>
      </c>
      <c r="N193" s="21">
        <v>8.1999999999999993</v>
      </c>
      <c r="O193" s="21">
        <v>26</v>
      </c>
      <c r="P193" s="72">
        <v>0.72</v>
      </c>
      <c r="Q193" s="152">
        <v>18.2</v>
      </c>
      <c r="R193" s="152">
        <v>6.0000000000000001E-3</v>
      </c>
      <c r="S193" s="152">
        <v>1E-3</v>
      </c>
      <c r="T193" s="152">
        <v>0</v>
      </c>
    </row>
    <row r="194" spans="1:20" ht="24" customHeight="1" x14ac:dyDescent="0.25">
      <c r="A194" s="48" t="s">
        <v>94</v>
      </c>
      <c r="B194" s="3" t="s">
        <v>27</v>
      </c>
      <c r="C194" s="157">
        <v>25</v>
      </c>
      <c r="D194" s="157">
        <v>1.32</v>
      </c>
      <c r="E194" s="157">
        <v>0.24</v>
      </c>
      <c r="F194" s="157">
        <v>8.36</v>
      </c>
      <c r="G194" s="157">
        <f t="shared" si="67"/>
        <v>40.879999999999995</v>
      </c>
      <c r="H194" s="157">
        <v>0.03</v>
      </c>
      <c r="I194" s="157">
        <v>0</v>
      </c>
      <c r="J194" s="157">
        <v>0</v>
      </c>
      <c r="K194" s="157">
        <v>0</v>
      </c>
      <c r="L194" s="157">
        <v>0</v>
      </c>
      <c r="M194" s="157">
        <v>5.08</v>
      </c>
      <c r="N194" s="157">
        <v>4.96</v>
      </c>
      <c r="O194" s="157">
        <v>40</v>
      </c>
      <c r="P194" s="158">
        <v>0.4</v>
      </c>
      <c r="Q194" s="152">
        <v>16.2</v>
      </c>
      <c r="R194" s="152">
        <v>6.0000000000000001E-3</v>
      </c>
      <c r="S194" s="152">
        <v>1E-3</v>
      </c>
      <c r="T194" s="152">
        <v>0</v>
      </c>
    </row>
    <row r="195" spans="1:20" ht="24" customHeight="1" x14ac:dyDescent="0.25">
      <c r="A195" s="225" t="s">
        <v>18</v>
      </c>
      <c r="B195" s="266"/>
      <c r="C195" s="101">
        <v>805</v>
      </c>
      <c r="D195" s="9">
        <f>SUM(D188:D194)</f>
        <v>31.44</v>
      </c>
      <c r="E195" s="9">
        <f t="shared" ref="E195:T195" si="68">SUM(E188:E194)</f>
        <v>29.95</v>
      </c>
      <c r="F195" s="9">
        <f t="shared" si="68"/>
        <v>118.57000000000001</v>
      </c>
      <c r="G195" s="9">
        <f>SUM(G188:G194)</f>
        <v>869.59</v>
      </c>
      <c r="H195" s="5">
        <f t="shared" si="68"/>
        <v>0.53800000000000003</v>
      </c>
      <c r="I195" s="5">
        <f t="shared" si="68"/>
        <v>29.4</v>
      </c>
      <c r="J195" s="5">
        <f t="shared" si="68"/>
        <v>279</v>
      </c>
      <c r="K195" s="5">
        <f t="shared" si="68"/>
        <v>0.49</v>
      </c>
      <c r="L195" s="5">
        <f t="shared" si="68"/>
        <v>4.8500000000000005</v>
      </c>
      <c r="M195" s="5">
        <f t="shared" si="68"/>
        <v>438.06</v>
      </c>
      <c r="N195" s="5">
        <f t="shared" si="68"/>
        <v>104.08000000000001</v>
      </c>
      <c r="O195" s="5">
        <f t="shared" si="68"/>
        <v>450.6</v>
      </c>
      <c r="P195" s="73">
        <f t="shared" si="68"/>
        <v>4.66</v>
      </c>
      <c r="Q195" s="73">
        <f t="shared" si="68"/>
        <v>496</v>
      </c>
      <c r="R195" s="73">
        <f t="shared" si="68"/>
        <v>4.2999999999999997E-2</v>
      </c>
      <c r="S195" s="73">
        <f t="shared" si="68"/>
        <v>1.61E-2</v>
      </c>
      <c r="T195" s="5">
        <f t="shared" si="68"/>
        <v>1.387</v>
      </c>
    </row>
    <row r="196" spans="1:20" ht="24" customHeight="1" x14ac:dyDescent="0.25">
      <c r="A196" s="229" t="s">
        <v>40</v>
      </c>
      <c r="B196" s="230"/>
      <c r="C196" s="230"/>
      <c r="D196" s="230"/>
      <c r="E196" s="230"/>
      <c r="F196" s="230"/>
      <c r="G196" s="230"/>
      <c r="H196" s="230"/>
      <c r="I196" s="230"/>
      <c r="J196" s="230"/>
      <c r="K196" s="230"/>
      <c r="L196" s="230"/>
      <c r="M196" s="230"/>
      <c r="N196" s="230"/>
      <c r="O196" s="230"/>
      <c r="P196" s="230"/>
      <c r="Q196" s="221"/>
      <c r="R196" s="221"/>
      <c r="S196" s="221"/>
      <c r="T196" s="222"/>
    </row>
    <row r="197" spans="1:20" ht="33" customHeight="1" x14ac:dyDescent="0.25">
      <c r="A197" s="154" t="s">
        <v>115</v>
      </c>
      <c r="B197" s="155" t="s">
        <v>30</v>
      </c>
      <c r="C197" s="157" t="s">
        <v>135</v>
      </c>
      <c r="D197" s="157">
        <v>0.04</v>
      </c>
      <c r="E197" s="157">
        <v>0</v>
      </c>
      <c r="F197" s="157">
        <v>10.119999999999999</v>
      </c>
      <c r="G197" s="11">
        <f t="shared" ref="G197:G199" si="69">(9*E197)+4*(F197+D197)</f>
        <v>40.639999999999993</v>
      </c>
      <c r="H197" s="157">
        <v>0.06</v>
      </c>
      <c r="I197" s="157">
        <v>0</v>
      </c>
      <c r="J197" s="157">
        <v>0</v>
      </c>
      <c r="K197" s="157">
        <v>0</v>
      </c>
      <c r="L197" s="157">
        <v>0</v>
      </c>
      <c r="M197" s="157">
        <v>10.16</v>
      </c>
      <c r="N197" s="157">
        <v>9.92</v>
      </c>
      <c r="O197" s="157">
        <v>80</v>
      </c>
      <c r="P197" s="158">
        <v>0.8</v>
      </c>
      <c r="Q197" s="152">
        <v>34</v>
      </c>
      <c r="R197" s="152">
        <v>0</v>
      </c>
      <c r="S197" s="152">
        <v>0</v>
      </c>
      <c r="T197" s="152">
        <v>0.2</v>
      </c>
    </row>
    <row r="198" spans="1:20" ht="24" customHeight="1" x14ac:dyDescent="0.25">
      <c r="A198" s="48" t="s">
        <v>97</v>
      </c>
      <c r="B198" s="155" t="s">
        <v>223</v>
      </c>
      <c r="C198" s="157">
        <v>50</v>
      </c>
      <c r="D198" s="157">
        <v>7.95</v>
      </c>
      <c r="E198" s="157">
        <v>9.3000000000000007</v>
      </c>
      <c r="F198" s="157">
        <v>30.8</v>
      </c>
      <c r="G198" s="11">
        <f t="shared" si="69"/>
        <v>238.7</v>
      </c>
      <c r="H198" s="157">
        <v>5.1999999999999998E-2</v>
      </c>
      <c r="I198" s="157">
        <v>0.4</v>
      </c>
      <c r="J198" s="157">
        <v>101.75</v>
      </c>
      <c r="K198" s="157">
        <v>0.23</v>
      </c>
      <c r="L198" s="157">
        <v>0.64</v>
      </c>
      <c r="M198" s="157">
        <v>98</v>
      </c>
      <c r="N198" s="157">
        <v>9.6</v>
      </c>
      <c r="O198" s="157">
        <v>61.4</v>
      </c>
      <c r="P198" s="158">
        <v>0.14000000000000001</v>
      </c>
      <c r="Q198" s="152">
        <v>92</v>
      </c>
      <c r="R198" s="152">
        <v>0</v>
      </c>
      <c r="S198" s="152">
        <v>1E-3</v>
      </c>
      <c r="T198" s="152">
        <v>0.17</v>
      </c>
    </row>
    <row r="199" spans="1:20" ht="24" customHeight="1" x14ac:dyDescent="0.25">
      <c r="A199" s="48"/>
      <c r="B199" s="18" t="s">
        <v>184</v>
      </c>
      <c r="C199" s="150">
        <v>65</v>
      </c>
      <c r="D199" s="150">
        <v>2.9</v>
      </c>
      <c r="E199" s="150">
        <v>2.1</v>
      </c>
      <c r="F199" s="150">
        <v>11.34</v>
      </c>
      <c r="G199" s="11">
        <f t="shared" si="69"/>
        <v>75.86</v>
      </c>
      <c r="H199" s="161">
        <v>0.03</v>
      </c>
      <c r="I199" s="161">
        <v>10</v>
      </c>
      <c r="J199" s="161">
        <v>0.03</v>
      </c>
      <c r="K199" s="161">
        <v>0.02</v>
      </c>
      <c r="L199" s="161">
        <v>0</v>
      </c>
      <c r="M199" s="161">
        <v>9.5</v>
      </c>
      <c r="N199" s="161">
        <v>7</v>
      </c>
      <c r="O199" s="161">
        <v>9.5</v>
      </c>
      <c r="P199" s="159">
        <v>1.2</v>
      </c>
      <c r="Q199" s="152">
        <v>0.4</v>
      </c>
      <c r="R199" s="152">
        <v>1.7000000000000001E-2</v>
      </c>
      <c r="S199" s="152">
        <v>0</v>
      </c>
      <c r="T199" s="152">
        <v>0.06</v>
      </c>
    </row>
    <row r="200" spans="1:20" ht="24" customHeight="1" x14ac:dyDescent="0.25">
      <c r="A200" s="225" t="s">
        <v>18</v>
      </c>
      <c r="B200" s="240"/>
      <c r="C200" s="101">
        <v>330</v>
      </c>
      <c r="D200" s="4">
        <f t="shared" ref="D200:T200" si="70">D197+D198+D199</f>
        <v>10.89</v>
      </c>
      <c r="E200" s="4">
        <f t="shared" si="70"/>
        <v>11.4</v>
      </c>
      <c r="F200" s="4">
        <f t="shared" si="70"/>
        <v>52.260000000000005</v>
      </c>
      <c r="G200" s="9">
        <f>G197+G198+G199</f>
        <v>355.2</v>
      </c>
      <c r="H200" s="13">
        <f t="shared" si="70"/>
        <v>0.14199999999999999</v>
      </c>
      <c r="I200" s="13">
        <f t="shared" si="70"/>
        <v>10.4</v>
      </c>
      <c r="J200" s="13">
        <f t="shared" si="70"/>
        <v>101.78</v>
      </c>
      <c r="K200" s="13">
        <f t="shared" si="70"/>
        <v>0.25</v>
      </c>
      <c r="L200" s="13">
        <f t="shared" si="70"/>
        <v>0.64</v>
      </c>
      <c r="M200" s="13">
        <f t="shared" si="70"/>
        <v>117.66</v>
      </c>
      <c r="N200" s="13">
        <f t="shared" si="70"/>
        <v>26.52</v>
      </c>
      <c r="O200" s="13">
        <f t="shared" si="70"/>
        <v>150.9</v>
      </c>
      <c r="P200" s="112">
        <f t="shared" si="70"/>
        <v>2.14</v>
      </c>
      <c r="Q200" s="112">
        <f t="shared" si="70"/>
        <v>126.4</v>
      </c>
      <c r="R200" s="112">
        <f t="shared" si="70"/>
        <v>1.7000000000000001E-2</v>
      </c>
      <c r="S200" s="112">
        <f t="shared" si="70"/>
        <v>1E-3</v>
      </c>
      <c r="T200" s="13">
        <f t="shared" si="70"/>
        <v>0.43</v>
      </c>
    </row>
    <row r="201" spans="1:20" ht="24" customHeight="1" x14ac:dyDescent="0.25">
      <c r="A201" s="225" t="s">
        <v>20</v>
      </c>
      <c r="B201" s="240"/>
      <c r="C201" s="101">
        <f>+C186+C195+C200</f>
        <v>1660</v>
      </c>
      <c r="D201" s="4">
        <f t="shared" ref="D201:T201" si="71">D186+D195+D200</f>
        <v>61.81</v>
      </c>
      <c r="E201" s="4">
        <f t="shared" si="71"/>
        <v>61.33</v>
      </c>
      <c r="F201" s="4">
        <f t="shared" si="71"/>
        <v>264.89</v>
      </c>
      <c r="G201" s="9">
        <f t="shared" si="71"/>
        <v>1858.7700000000002</v>
      </c>
      <c r="H201" s="37">
        <f t="shared" si="71"/>
        <v>1.1000000000000001</v>
      </c>
      <c r="I201" s="37">
        <f t="shared" si="71"/>
        <v>48.87</v>
      </c>
      <c r="J201" s="37">
        <f t="shared" si="71"/>
        <v>575.88</v>
      </c>
      <c r="K201" s="37">
        <f t="shared" si="71"/>
        <v>1.042</v>
      </c>
      <c r="L201" s="37">
        <f t="shared" si="71"/>
        <v>7.95</v>
      </c>
      <c r="M201" s="37">
        <f t="shared" si="71"/>
        <v>869.63</v>
      </c>
      <c r="N201" s="37">
        <f t="shared" si="71"/>
        <v>198.56000000000003</v>
      </c>
      <c r="O201" s="37">
        <f t="shared" si="71"/>
        <v>882.82</v>
      </c>
      <c r="P201" s="75">
        <f t="shared" si="71"/>
        <v>9.8000000000000007</v>
      </c>
      <c r="Q201" s="75">
        <f t="shared" si="71"/>
        <v>877.8</v>
      </c>
      <c r="R201" s="75">
        <f t="shared" si="71"/>
        <v>0.08</v>
      </c>
      <c r="S201" s="75">
        <f t="shared" si="71"/>
        <v>2.41E-2</v>
      </c>
      <c r="T201" s="37">
        <f t="shared" si="71"/>
        <v>2.5900000000000003</v>
      </c>
    </row>
    <row r="202" spans="1:20" ht="24" customHeight="1" x14ac:dyDescent="0.25">
      <c r="A202" s="234" t="s">
        <v>49</v>
      </c>
      <c r="B202" s="235"/>
      <c r="C202" s="235"/>
      <c r="D202" s="235"/>
      <c r="E202" s="235"/>
      <c r="F202" s="235"/>
      <c r="G202" s="235"/>
      <c r="H202" s="235"/>
      <c r="I202" s="235"/>
      <c r="J202" s="235"/>
      <c r="K202" s="235"/>
      <c r="L202" s="235"/>
      <c r="M202" s="235"/>
      <c r="N202" s="235"/>
      <c r="O202" s="235"/>
      <c r="P202" s="235"/>
      <c r="Q202" s="221"/>
      <c r="R202" s="221"/>
      <c r="S202" s="221"/>
      <c r="T202" s="222"/>
    </row>
    <row r="203" spans="1:20" ht="24" customHeight="1" x14ac:dyDescent="0.25">
      <c r="A203" s="229" t="s">
        <v>17</v>
      </c>
      <c r="B203" s="230"/>
      <c r="C203" s="230"/>
      <c r="D203" s="230"/>
      <c r="E203" s="230"/>
      <c r="F203" s="230"/>
      <c r="G203" s="230"/>
      <c r="H203" s="230"/>
      <c r="I203" s="230"/>
      <c r="J203" s="230"/>
      <c r="K203" s="230"/>
      <c r="L203" s="230"/>
      <c r="M203" s="230"/>
      <c r="N203" s="230"/>
      <c r="O203" s="230"/>
      <c r="P203" s="230"/>
      <c r="Q203" s="221"/>
      <c r="R203" s="221"/>
      <c r="S203" s="221"/>
      <c r="T203" s="222"/>
    </row>
    <row r="204" spans="1:20" ht="24" customHeight="1" x14ac:dyDescent="0.25">
      <c r="A204" s="154" t="s">
        <v>109</v>
      </c>
      <c r="B204" s="155" t="s">
        <v>65</v>
      </c>
      <c r="C204" s="157">
        <v>150</v>
      </c>
      <c r="D204" s="157">
        <v>13.55</v>
      </c>
      <c r="E204" s="157">
        <v>7.64</v>
      </c>
      <c r="F204" s="157">
        <v>3.67</v>
      </c>
      <c r="G204" s="157">
        <f>F204*4+E204*9+D204*4</f>
        <v>137.63999999999999</v>
      </c>
      <c r="H204" s="157">
        <v>0.06</v>
      </c>
      <c r="I204" s="157">
        <v>6</v>
      </c>
      <c r="J204" s="157">
        <v>131.6</v>
      </c>
      <c r="K204" s="157">
        <v>0.3</v>
      </c>
      <c r="L204" s="157">
        <v>0.9</v>
      </c>
      <c r="M204" s="157">
        <v>184.5</v>
      </c>
      <c r="N204" s="157">
        <v>31.44</v>
      </c>
      <c r="O204" s="157">
        <v>98.4</v>
      </c>
      <c r="P204" s="158">
        <v>0.42</v>
      </c>
      <c r="Q204" s="152">
        <v>104.28</v>
      </c>
      <c r="R204" s="152">
        <v>3.2000000000000002E-3</v>
      </c>
      <c r="S204" s="152">
        <v>4.8999999999999998E-3</v>
      </c>
      <c r="T204" s="152">
        <v>8.7999999999999995E-2</v>
      </c>
    </row>
    <row r="205" spans="1:20" ht="42" customHeight="1" x14ac:dyDescent="0.25">
      <c r="A205" s="153" t="s">
        <v>114</v>
      </c>
      <c r="B205" s="155" t="s">
        <v>136</v>
      </c>
      <c r="C205" s="157">
        <v>45</v>
      </c>
      <c r="D205" s="157">
        <v>6.15</v>
      </c>
      <c r="E205" s="157">
        <v>10.92</v>
      </c>
      <c r="F205" s="157">
        <v>16.274999999999999</v>
      </c>
      <c r="G205" s="42">
        <f t="shared" ref="G205" si="72">(9*E205)+4*(F205+D205)</f>
        <v>187.98</v>
      </c>
      <c r="H205" s="157">
        <v>0.1</v>
      </c>
      <c r="I205" s="157">
        <v>3</v>
      </c>
      <c r="J205" s="157">
        <f>12.3/2</f>
        <v>6.15</v>
      </c>
      <c r="K205" s="157">
        <v>0.05</v>
      </c>
      <c r="L205" s="157">
        <v>0.6</v>
      </c>
      <c r="M205" s="157">
        <f>141.24/2</f>
        <v>70.62</v>
      </c>
      <c r="N205" s="157">
        <v>24.38</v>
      </c>
      <c r="O205" s="157">
        <v>83.6</v>
      </c>
      <c r="P205" s="158">
        <v>0.33</v>
      </c>
      <c r="Q205" s="152">
        <v>55.6</v>
      </c>
      <c r="R205" s="152">
        <f>3/1000</f>
        <v>3.0000000000000001E-3</v>
      </c>
      <c r="S205" s="152">
        <v>0</v>
      </c>
      <c r="T205" s="152">
        <v>3.1099999999999999E-2</v>
      </c>
    </row>
    <row r="206" spans="1:20" ht="24" customHeight="1" x14ac:dyDescent="0.25">
      <c r="A206" s="153" t="s">
        <v>163</v>
      </c>
      <c r="B206" s="30" t="s">
        <v>183</v>
      </c>
      <c r="C206" s="157">
        <v>60</v>
      </c>
      <c r="D206" s="157">
        <v>0.82</v>
      </c>
      <c r="E206" s="157">
        <v>2.08</v>
      </c>
      <c r="F206" s="157">
        <v>4.8</v>
      </c>
      <c r="G206" s="157">
        <f>F206*4+E206*9+D206*4</f>
        <v>41.2</v>
      </c>
      <c r="H206" s="157">
        <v>5.1999999999999998E-2</v>
      </c>
      <c r="I206" s="157">
        <v>0.1</v>
      </c>
      <c r="J206" s="157">
        <v>0</v>
      </c>
      <c r="K206" s="157">
        <v>0</v>
      </c>
      <c r="L206" s="157">
        <v>1</v>
      </c>
      <c r="M206" s="157">
        <v>49</v>
      </c>
      <c r="N206" s="157">
        <v>13</v>
      </c>
      <c r="O206" s="157">
        <v>42</v>
      </c>
      <c r="P206" s="158">
        <v>1</v>
      </c>
      <c r="Q206" s="152">
        <v>46.9</v>
      </c>
      <c r="R206" s="152">
        <v>1.4999999999999999E-2</v>
      </c>
      <c r="S206" s="152">
        <v>1.6999999999999999E-3</v>
      </c>
      <c r="T206" s="152">
        <v>0.4</v>
      </c>
    </row>
    <row r="207" spans="1:20" ht="24" customHeight="1" x14ac:dyDescent="0.25">
      <c r="A207" s="154" t="s">
        <v>134</v>
      </c>
      <c r="B207" s="155" t="s">
        <v>160</v>
      </c>
      <c r="C207" s="157" t="s">
        <v>56</v>
      </c>
      <c r="D207" s="157">
        <v>0.04</v>
      </c>
      <c r="E207" s="157">
        <v>0</v>
      </c>
      <c r="F207" s="157">
        <v>10.119999999999999</v>
      </c>
      <c r="G207" s="11">
        <f t="shared" ref="G207:G208" si="73">(9*E207)+4*(F207+D207)</f>
        <v>40.639999999999993</v>
      </c>
      <c r="H207" s="157">
        <v>0.06</v>
      </c>
      <c r="I207" s="157">
        <v>0</v>
      </c>
      <c r="J207" s="157">
        <v>0</v>
      </c>
      <c r="K207" s="157">
        <v>0</v>
      </c>
      <c r="L207" s="157">
        <v>0</v>
      </c>
      <c r="M207" s="157">
        <v>10.16</v>
      </c>
      <c r="N207" s="157">
        <v>9.92</v>
      </c>
      <c r="O207" s="157">
        <v>80</v>
      </c>
      <c r="P207" s="158">
        <v>0.8</v>
      </c>
      <c r="Q207" s="152">
        <v>34</v>
      </c>
      <c r="R207" s="152">
        <v>0</v>
      </c>
      <c r="S207" s="152">
        <v>0</v>
      </c>
      <c r="T207" s="152">
        <v>0.02</v>
      </c>
    </row>
    <row r="208" spans="1:20" ht="24" customHeight="1" x14ac:dyDescent="0.25">
      <c r="A208" s="115" t="s">
        <v>123</v>
      </c>
      <c r="B208" s="155" t="s">
        <v>25</v>
      </c>
      <c r="C208" s="157">
        <v>50</v>
      </c>
      <c r="D208" s="157">
        <v>0.08</v>
      </c>
      <c r="E208" s="157">
        <v>0.32</v>
      </c>
      <c r="F208" s="157">
        <v>19.920000000000002</v>
      </c>
      <c r="G208" s="157">
        <f t="shared" si="73"/>
        <v>82.88</v>
      </c>
      <c r="H208" s="157">
        <v>0.08</v>
      </c>
      <c r="I208" s="157">
        <v>0</v>
      </c>
      <c r="J208" s="157">
        <v>40</v>
      </c>
      <c r="K208" s="157">
        <v>0</v>
      </c>
      <c r="L208" s="157">
        <v>0</v>
      </c>
      <c r="M208" s="157">
        <v>2</v>
      </c>
      <c r="N208" s="157">
        <v>0</v>
      </c>
      <c r="O208" s="157">
        <v>3</v>
      </c>
      <c r="P208" s="158">
        <v>0</v>
      </c>
      <c r="Q208" s="152">
        <v>3</v>
      </c>
      <c r="R208" s="152">
        <v>0</v>
      </c>
      <c r="S208" s="152">
        <v>1E-3</v>
      </c>
      <c r="T208" s="152">
        <v>2.8000000000000001E-2</v>
      </c>
    </row>
    <row r="209" spans="1:20" ht="24" customHeight="1" x14ac:dyDescent="0.25">
      <c r="A209" s="225" t="s">
        <v>18</v>
      </c>
      <c r="B209" s="243"/>
      <c r="C209" s="44">
        <v>515</v>
      </c>
      <c r="D209" s="4">
        <f t="shared" ref="D209:T209" si="74">SUM(D204:D208)</f>
        <v>20.64</v>
      </c>
      <c r="E209" s="4">
        <f t="shared" si="74"/>
        <v>20.96</v>
      </c>
      <c r="F209" s="4">
        <f t="shared" si="74"/>
        <v>54.785000000000004</v>
      </c>
      <c r="G209" s="4">
        <f t="shared" si="74"/>
        <v>490.34</v>
      </c>
      <c r="H209" s="5">
        <f t="shared" si="74"/>
        <v>0.35200000000000004</v>
      </c>
      <c r="I209" s="5">
        <f t="shared" si="74"/>
        <v>9.1</v>
      </c>
      <c r="J209" s="5">
        <f t="shared" si="74"/>
        <v>177.75</v>
      </c>
      <c r="K209" s="5">
        <f t="shared" si="74"/>
        <v>0.35</v>
      </c>
      <c r="L209" s="5">
        <f t="shared" si="74"/>
        <v>2.5</v>
      </c>
      <c r="M209" s="5">
        <f t="shared" si="74"/>
        <v>316.28000000000003</v>
      </c>
      <c r="N209" s="5">
        <f t="shared" si="74"/>
        <v>78.739999999999995</v>
      </c>
      <c r="O209" s="5">
        <f t="shared" si="74"/>
        <v>307</v>
      </c>
      <c r="P209" s="73">
        <f t="shared" si="74"/>
        <v>2.5499999999999998</v>
      </c>
      <c r="Q209" s="73">
        <f t="shared" si="74"/>
        <v>243.78</v>
      </c>
      <c r="R209" s="73">
        <f t="shared" si="74"/>
        <v>2.12E-2</v>
      </c>
      <c r="S209" s="73">
        <f t="shared" si="74"/>
        <v>7.6E-3</v>
      </c>
      <c r="T209" s="5">
        <f t="shared" si="74"/>
        <v>0.56710000000000005</v>
      </c>
    </row>
    <row r="210" spans="1:20" ht="24" customHeight="1" x14ac:dyDescent="0.25">
      <c r="A210" s="229" t="s">
        <v>19</v>
      </c>
      <c r="B210" s="230"/>
      <c r="C210" s="230"/>
      <c r="D210" s="230"/>
      <c r="E210" s="230"/>
      <c r="F210" s="230"/>
      <c r="G210" s="230"/>
      <c r="H210" s="230"/>
      <c r="I210" s="230"/>
      <c r="J210" s="230"/>
      <c r="K210" s="230"/>
      <c r="L210" s="230"/>
      <c r="M210" s="230"/>
      <c r="N210" s="230"/>
      <c r="O210" s="230"/>
      <c r="P210" s="230"/>
      <c r="Q210" s="221"/>
      <c r="R210" s="221"/>
      <c r="S210" s="221"/>
      <c r="T210" s="222"/>
    </row>
    <row r="211" spans="1:20" ht="34.15" customHeight="1" x14ac:dyDescent="0.25">
      <c r="A211" s="153" t="s">
        <v>126</v>
      </c>
      <c r="B211" s="155" t="s">
        <v>227</v>
      </c>
      <c r="C211" s="157">
        <v>250</v>
      </c>
      <c r="D211" s="157">
        <v>7.06</v>
      </c>
      <c r="E211" s="157">
        <v>10.6</v>
      </c>
      <c r="F211" s="157">
        <v>34.299999999999997</v>
      </c>
      <c r="G211" s="2">
        <f>F211*4+E211*9+D211*4</f>
        <v>260.83999999999997</v>
      </c>
      <c r="H211" s="157">
        <v>0.12</v>
      </c>
      <c r="I211" s="157">
        <v>23</v>
      </c>
      <c r="J211" s="157">
        <v>128.30000000000001</v>
      </c>
      <c r="K211" s="157">
        <v>0.43</v>
      </c>
      <c r="L211" s="157">
        <v>1.67</v>
      </c>
      <c r="M211" s="157">
        <v>123.2</v>
      </c>
      <c r="N211" s="157">
        <v>20.3</v>
      </c>
      <c r="O211" s="157">
        <v>126.7</v>
      </c>
      <c r="P211" s="158">
        <v>0.82</v>
      </c>
      <c r="Q211" s="152">
        <v>114</v>
      </c>
      <c r="R211" s="152">
        <v>5.0000000000000001E-3</v>
      </c>
      <c r="S211" s="152">
        <v>0</v>
      </c>
      <c r="T211" s="152">
        <v>0.78</v>
      </c>
    </row>
    <row r="212" spans="1:20" ht="24" customHeight="1" x14ac:dyDescent="0.25">
      <c r="A212" s="47" t="s">
        <v>228</v>
      </c>
      <c r="B212" s="190" t="s">
        <v>225</v>
      </c>
      <c r="C212" s="175" t="s">
        <v>226</v>
      </c>
      <c r="D212" s="175">
        <v>11.85</v>
      </c>
      <c r="E212" s="175">
        <v>8.7100000000000009</v>
      </c>
      <c r="F212" s="175">
        <v>12.87</v>
      </c>
      <c r="G212" s="2">
        <f t="shared" ref="G212:G217" si="75">F212*4+E212*9+D212*4</f>
        <v>177.27</v>
      </c>
      <c r="H212" s="175">
        <v>7.0000000000000007E-2</v>
      </c>
      <c r="I212" s="175">
        <v>2.5</v>
      </c>
      <c r="J212" s="175">
        <v>118.45</v>
      </c>
      <c r="K212" s="175">
        <v>7.3999999999999996E-2</v>
      </c>
      <c r="L212" s="175">
        <v>1.1000000000000001</v>
      </c>
      <c r="M212" s="175">
        <v>119.6</v>
      </c>
      <c r="N212" s="191">
        <v>33.700000000000003</v>
      </c>
      <c r="O212" s="192">
        <v>152.22999999999999</v>
      </c>
      <c r="P212" s="177">
        <v>1.56</v>
      </c>
      <c r="Q212" s="178">
        <v>132</v>
      </c>
      <c r="R212" s="178">
        <v>0</v>
      </c>
      <c r="S212" s="178">
        <v>0</v>
      </c>
      <c r="T212" s="178">
        <v>0.22</v>
      </c>
    </row>
    <row r="213" spans="1:20" ht="24" customHeight="1" x14ac:dyDescent="0.25">
      <c r="A213" s="174" t="s">
        <v>229</v>
      </c>
      <c r="B213" s="180" t="s">
        <v>24</v>
      </c>
      <c r="C213" s="175">
        <v>150</v>
      </c>
      <c r="D213" s="175">
        <f>2.15*1.5</f>
        <v>3.2249999999999996</v>
      </c>
      <c r="E213" s="175">
        <f>3.56*1.5</f>
        <v>5.34</v>
      </c>
      <c r="F213" s="175">
        <v>43.39</v>
      </c>
      <c r="G213" s="2">
        <f t="shared" si="75"/>
        <v>234.52</v>
      </c>
      <c r="H213" s="175">
        <v>0.03</v>
      </c>
      <c r="I213" s="175">
        <v>0.03</v>
      </c>
      <c r="J213" s="175">
        <v>0.01</v>
      </c>
      <c r="K213" s="175">
        <v>1.6E-2</v>
      </c>
      <c r="L213" s="175">
        <v>1.2</v>
      </c>
      <c r="M213" s="175">
        <v>16</v>
      </c>
      <c r="N213" s="175">
        <v>9</v>
      </c>
      <c r="O213" s="175">
        <v>11</v>
      </c>
      <c r="P213" s="177">
        <v>0.9</v>
      </c>
      <c r="Q213" s="178">
        <v>84.7</v>
      </c>
      <c r="R213" s="178">
        <v>3.5999999999999999E-3</v>
      </c>
      <c r="S213" s="178">
        <v>8.9999999999999993E-3</v>
      </c>
      <c r="T213" s="178">
        <v>0</v>
      </c>
    </row>
    <row r="214" spans="1:20" ht="31.5" customHeight="1" x14ac:dyDescent="0.25">
      <c r="A214" s="131" t="s">
        <v>162</v>
      </c>
      <c r="B214" s="30" t="s">
        <v>224</v>
      </c>
      <c r="C214" s="152">
        <v>60</v>
      </c>
      <c r="D214" s="152">
        <v>0.8</v>
      </c>
      <c r="E214" s="152">
        <v>2.9</v>
      </c>
      <c r="F214" s="89">
        <f>2.22*30/100</f>
        <v>0.66600000000000004</v>
      </c>
      <c r="G214" s="2">
        <f t="shared" si="75"/>
        <v>31.963999999999999</v>
      </c>
      <c r="H214" s="152">
        <v>0</v>
      </c>
      <c r="I214" s="152">
        <v>0</v>
      </c>
      <c r="J214" s="152">
        <v>0</v>
      </c>
      <c r="K214" s="152">
        <v>0</v>
      </c>
      <c r="L214" s="157">
        <v>0</v>
      </c>
      <c r="M214" s="152">
        <v>5</v>
      </c>
      <c r="N214" s="152">
        <v>0</v>
      </c>
      <c r="O214" s="152">
        <v>4</v>
      </c>
      <c r="P214" s="152">
        <v>0.14000000000000001</v>
      </c>
      <c r="Q214" s="152">
        <v>37.200000000000003</v>
      </c>
      <c r="R214" s="152">
        <v>2E-3</v>
      </c>
      <c r="S214" s="152">
        <v>2.0000000000000001E-4</v>
      </c>
      <c r="T214" s="152">
        <v>0.25</v>
      </c>
    </row>
    <row r="215" spans="1:20" ht="36" customHeight="1" x14ac:dyDescent="0.25">
      <c r="A215" s="154" t="s">
        <v>39</v>
      </c>
      <c r="B215" s="155" t="s">
        <v>36</v>
      </c>
      <c r="C215" s="157">
        <v>200</v>
      </c>
      <c r="D215" s="157">
        <v>0.8</v>
      </c>
      <c r="E215" s="157">
        <v>0</v>
      </c>
      <c r="F215" s="157">
        <v>21.98</v>
      </c>
      <c r="G215" s="2">
        <f t="shared" si="75"/>
        <v>91.12</v>
      </c>
      <c r="H215" s="157">
        <v>0</v>
      </c>
      <c r="I215" s="157">
        <v>0.1</v>
      </c>
      <c r="J215" s="157">
        <v>0</v>
      </c>
      <c r="K215" s="157">
        <v>0</v>
      </c>
      <c r="L215" s="157">
        <v>0</v>
      </c>
      <c r="M215" s="157">
        <v>5.25</v>
      </c>
      <c r="N215" s="157">
        <v>4.4000000000000004</v>
      </c>
      <c r="O215" s="157">
        <v>8.24</v>
      </c>
      <c r="P215" s="158">
        <v>0.86</v>
      </c>
      <c r="Q215" s="152">
        <v>68</v>
      </c>
      <c r="R215" s="152">
        <v>1.4999999999999999E-2</v>
      </c>
      <c r="S215" s="152">
        <v>0</v>
      </c>
      <c r="T215" s="152">
        <v>0</v>
      </c>
    </row>
    <row r="216" spans="1:20" ht="24" customHeight="1" x14ac:dyDescent="0.25">
      <c r="A216" s="48" t="s">
        <v>93</v>
      </c>
      <c r="B216" s="155" t="s">
        <v>25</v>
      </c>
      <c r="C216" s="21">
        <v>25</v>
      </c>
      <c r="D216" s="21">
        <v>1.52</v>
      </c>
      <c r="E216" s="21">
        <v>0.16</v>
      </c>
      <c r="F216" s="21">
        <v>9.98</v>
      </c>
      <c r="G216" s="2">
        <f t="shared" si="75"/>
        <v>47.44</v>
      </c>
      <c r="H216" s="21">
        <v>0.08</v>
      </c>
      <c r="I216" s="21">
        <v>0.04</v>
      </c>
      <c r="J216" s="21">
        <v>0</v>
      </c>
      <c r="K216" s="21">
        <v>0</v>
      </c>
      <c r="L216" s="21">
        <v>0</v>
      </c>
      <c r="M216" s="21">
        <v>0</v>
      </c>
      <c r="N216" s="21">
        <v>8.1999999999999993</v>
      </c>
      <c r="O216" s="21">
        <v>13</v>
      </c>
      <c r="P216" s="72">
        <v>0.72</v>
      </c>
      <c r="Q216" s="152">
        <v>18.2</v>
      </c>
      <c r="R216" s="152">
        <v>6.0000000000000001E-3</v>
      </c>
      <c r="S216" s="152">
        <v>1E-3</v>
      </c>
      <c r="T216" s="152">
        <v>0</v>
      </c>
    </row>
    <row r="217" spans="1:20" ht="24" customHeight="1" x14ac:dyDescent="0.25">
      <c r="A217" s="48" t="s">
        <v>94</v>
      </c>
      <c r="B217" s="3" t="s">
        <v>27</v>
      </c>
      <c r="C217" s="157">
        <v>25</v>
      </c>
      <c r="D217" s="157">
        <v>1.3</v>
      </c>
      <c r="E217" s="157">
        <v>0.24</v>
      </c>
      <c r="F217" s="157">
        <v>8.36</v>
      </c>
      <c r="G217" s="2">
        <f t="shared" si="75"/>
        <v>40.799999999999997</v>
      </c>
      <c r="H217" s="157">
        <v>0.03</v>
      </c>
      <c r="I217" s="157">
        <v>0</v>
      </c>
      <c r="J217" s="157">
        <v>0</v>
      </c>
      <c r="K217" s="157">
        <v>0</v>
      </c>
      <c r="L217" s="157">
        <v>0</v>
      </c>
      <c r="M217" s="157">
        <v>5.08</v>
      </c>
      <c r="N217" s="157">
        <v>4.96</v>
      </c>
      <c r="O217" s="157">
        <v>40</v>
      </c>
      <c r="P217" s="158">
        <v>0.4</v>
      </c>
      <c r="Q217" s="152">
        <v>16.2</v>
      </c>
      <c r="R217" s="152">
        <v>6.0000000000000001E-3</v>
      </c>
      <c r="S217" s="152">
        <v>1E-3</v>
      </c>
      <c r="T217" s="152">
        <v>0</v>
      </c>
    </row>
    <row r="218" spans="1:20" ht="24" customHeight="1" x14ac:dyDescent="0.25">
      <c r="A218" s="225" t="s">
        <v>18</v>
      </c>
      <c r="B218" s="266"/>
      <c r="C218" s="101">
        <v>835</v>
      </c>
      <c r="D218" s="14">
        <f>SUM(D211:D217)</f>
        <v>26.555</v>
      </c>
      <c r="E218" s="14">
        <f t="shared" ref="E218:G218" si="76">SUM(E211:E217)</f>
        <v>27.95</v>
      </c>
      <c r="F218" s="14">
        <f t="shared" si="76"/>
        <v>131.54599999999999</v>
      </c>
      <c r="G218" s="14">
        <f t="shared" si="76"/>
        <v>883.95399999999995</v>
      </c>
      <c r="H218" s="63">
        <f t="shared" ref="H218" si="77">SUM(H211:H217)</f>
        <v>0.32999999999999996</v>
      </c>
      <c r="I218" s="63">
        <f t="shared" ref="I218" si="78">SUM(I211:I217)</f>
        <v>25.67</v>
      </c>
      <c r="J218" s="63">
        <f t="shared" ref="J218" si="79">SUM(J211:J217)</f>
        <v>246.76</v>
      </c>
      <c r="K218" s="63">
        <f t="shared" ref="K218" si="80">SUM(K211:K217)</f>
        <v>0.52</v>
      </c>
      <c r="L218" s="94">
        <f>SUM(L211:L217)</f>
        <v>3.9699999999999998</v>
      </c>
      <c r="M218" s="63">
        <f t="shared" ref="M218" si="81">SUM(M211:M217)</f>
        <v>274.13</v>
      </c>
      <c r="N218" s="63">
        <f t="shared" ref="N218" si="82">SUM(N211:N217)</f>
        <v>80.56</v>
      </c>
      <c r="O218" s="63">
        <f t="shared" ref="O218" si="83">SUM(O211:O217)</f>
        <v>355.17</v>
      </c>
      <c r="P218" s="81">
        <f t="shared" ref="P218:T218" si="84">SUM(P211:P217)</f>
        <v>5.4</v>
      </c>
      <c r="Q218" s="81">
        <f t="shared" si="84"/>
        <v>470.29999999999995</v>
      </c>
      <c r="R218" s="95">
        <f>SUM(R211:R217)</f>
        <v>3.7599999999999995E-2</v>
      </c>
      <c r="S218" s="95">
        <f t="shared" si="84"/>
        <v>1.1200000000000002E-2</v>
      </c>
      <c r="T218" s="10">
        <f t="shared" si="84"/>
        <v>1.25</v>
      </c>
    </row>
    <row r="219" spans="1:20" ht="24" customHeight="1" x14ac:dyDescent="0.25">
      <c r="A219" s="219" t="s">
        <v>40</v>
      </c>
      <c r="B219" s="268"/>
      <c r="C219" s="268"/>
      <c r="D219" s="268"/>
      <c r="E219" s="268"/>
      <c r="F219" s="268"/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21"/>
      <c r="R219" s="221"/>
      <c r="S219" s="221"/>
      <c r="T219" s="222"/>
    </row>
    <row r="220" spans="1:20" ht="33.6" customHeight="1" x14ac:dyDescent="0.25">
      <c r="A220" s="154" t="s">
        <v>118</v>
      </c>
      <c r="B220" s="155" t="s">
        <v>41</v>
      </c>
      <c r="C220" s="157">
        <v>200</v>
      </c>
      <c r="D220" s="157">
        <v>2.64</v>
      </c>
      <c r="E220" s="157">
        <v>3</v>
      </c>
      <c r="F220" s="157">
        <v>9.14</v>
      </c>
      <c r="G220" s="157">
        <f>(9*E220)+4*(F220+D220)</f>
        <v>74.12</v>
      </c>
      <c r="H220" s="157">
        <v>0.09</v>
      </c>
      <c r="I220" s="157">
        <v>0.18</v>
      </c>
      <c r="J220" s="157">
        <v>23.3</v>
      </c>
      <c r="K220" s="157">
        <v>0.2</v>
      </c>
      <c r="L220" s="157">
        <v>0</v>
      </c>
      <c r="M220" s="157">
        <v>242</v>
      </c>
      <c r="N220" s="157">
        <v>30</v>
      </c>
      <c r="O220" s="157">
        <v>157</v>
      </c>
      <c r="P220" s="158">
        <v>0.2</v>
      </c>
      <c r="Q220" s="152">
        <v>94.3</v>
      </c>
      <c r="R220" s="152">
        <v>1.7999999999999999E-2</v>
      </c>
      <c r="S220" s="152">
        <v>4.0000000000000001E-3</v>
      </c>
      <c r="T220" s="152">
        <v>0.04</v>
      </c>
    </row>
    <row r="221" spans="1:20" ht="33.6" customHeight="1" x14ac:dyDescent="0.25">
      <c r="A221" s="48" t="s">
        <v>96</v>
      </c>
      <c r="B221" s="155" t="s">
        <v>83</v>
      </c>
      <c r="C221" s="157">
        <v>55</v>
      </c>
      <c r="D221" s="157">
        <v>10.83</v>
      </c>
      <c r="E221" s="157">
        <v>8.3000000000000007</v>
      </c>
      <c r="F221" s="157">
        <v>60.2</v>
      </c>
      <c r="G221" s="157">
        <f>(9*E221)+4*(F221+D221)</f>
        <v>358.82</v>
      </c>
      <c r="H221" s="157">
        <v>5.1999999999999998E-2</v>
      </c>
      <c r="I221" s="157">
        <v>0.4</v>
      </c>
      <c r="J221" s="157">
        <v>78.400000000000006</v>
      </c>
      <c r="K221" s="157">
        <v>0</v>
      </c>
      <c r="L221" s="157">
        <v>1.6</v>
      </c>
      <c r="M221" s="157">
        <v>35.799999999999997</v>
      </c>
      <c r="N221" s="157">
        <v>3.6</v>
      </c>
      <c r="O221" s="157">
        <v>78.7</v>
      </c>
      <c r="P221" s="158">
        <v>0.82399999999999995</v>
      </c>
      <c r="Q221" s="152">
        <v>75</v>
      </c>
      <c r="R221" s="152">
        <v>0</v>
      </c>
      <c r="S221" s="152">
        <v>0</v>
      </c>
      <c r="T221" s="152">
        <v>0</v>
      </c>
    </row>
    <row r="222" spans="1:20" ht="24" customHeight="1" x14ac:dyDescent="0.25">
      <c r="A222" s="116" t="s">
        <v>154</v>
      </c>
      <c r="B222" s="155" t="s">
        <v>73</v>
      </c>
      <c r="C222" s="157">
        <v>100</v>
      </c>
      <c r="D222" s="157">
        <v>0.42</v>
      </c>
      <c r="E222" s="157">
        <v>0.41</v>
      </c>
      <c r="F222" s="157">
        <v>13.24</v>
      </c>
      <c r="G222" s="11">
        <f>(9*E222)+4*(F222+D222)</f>
        <v>58.33</v>
      </c>
      <c r="H222" s="161">
        <v>0.03</v>
      </c>
      <c r="I222" s="161">
        <v>10</v>
      </c>
      <c r="J222" s="161">
        <v>0.03</v>
      </c>
      <c r="K222" s="161">
        <v>0.02</v>
      </c>
      <c r="L222" s="161">
        <v>0</v>
      </c>
      <c r="M222" s="161">
        <v>9.5</v>
      </c>
      <c r="N222" s="161">
        <v>7</v>
      </c>
      <c r="O222" s="161">
        <v>9.5</v>
      </c>
      <c r="P222" s="159">
        <v>1.2</v>
      </c>
      <c r="Q222" s="152">
        <v>0.4</v>
      </c>
      <c r="R222" s="152">
        <v>7.0000000000000001E-3</v>
      </c>
      <c r="S222" s="152">
        <v>0</v>
      </c>
      <c r="T222" s="152">
        <v>0.4</v>
      </c>
    </row>
    <row r="223" spans="1:20" ht="24" customHeight="1" x14ac:dyDescent="0.25">
      <c r="A223" s="225" t="s">
        <v>18</v>
      </c>
      <c r="B223" s="266"/>
      <c r="C223" s="101">
        <f t="shared" ref="C223:T223" si="85">SUM(C220:C222)</f>
        <v>355</v>
      </c>
      <c r="D223" s="4">
        <f t="shared" si="85"/>
        <v>13.89</v>
      </c>
      <c r="E223" s="4">
        <f t="shared" si="85"/>
        <v>11.71</v>
      </c>
      <c r="F223" s="4">
        <f t="shared" si="85"/>
        <v>82.58</v>
      </c>
      <c r="G223" s="4">
        <f t="shared" si="85"/>
        <v>491.27</v>
      </c>
      <c r="H223" s="5">
        <f t="shared" si="85"/>
        <v>0.17199999999999999</v>
      </c>
      <c r="I223" s="5">
        <f t="shared" si="85"/>
        <v>10.58</v>
      </c>
      <c r="J223" s="5">
        <f t="shared" si="85"/>
        <v>101.73</v>
      </c>
      <c r="K223" s="5">
        <f t="shared" si="85"/>
        <v>0.22</v>
      </c>
      <c r="L223" s="5">
        <f t="shared" si="85"/>
        <v>1.6</v>
      </c>
      <c r="M223" s="5">
        <f t="shared" si="85"/>
        <v>287.3</v>
      </c>
      <c r="N223" s="5">
        <f t="shared" si="85"/>
        <v>40.6</v>
      </c>
      <c r="O223" s="5">
        <f t="shared" si="85"/>
        <v>245.2</v>
      </c>
      <c r="P223" s="73">
        <f t="shared" si="85"/>
        <v>2.2240000000000002</v>
      </c>
      <c r="Q223" s="73">
        <f t="shared" si="85"/>
        <v>169.70000000000002</v>
      </c>
      <c r="R223" s="73">
        <f t="shared" si="85"/>
        <v>2.4999999999999998E-2</v>
      </c>
      <c r="S223" s="73">
        <f t="shared" si="85"/>
        <v>4.0000000000000001E-3</v>
      </c>
      <c r="T223" s="5">
        <f t="shared" si="85"/>
        <v>0.44</v>
      </c>
    </row>
    <row r="224" spans="1:20" ht="24" customHeight="1" x14ac:dyDescent="0.25">
      <c r="A224" s="225" t="s">
        <v>20</v>
      </c>
      <c r="B224" s="226"/>
      <c r="C224" s="44">
        <f>+C209+C218+C223</f>
        <v>1705</v>
      </c>
      <c r="D224" s="14">
        <f t="shared" ref="D224:T224" si="86">D223+D218+D209</f>
        <v>61.085000000000001</v>
      </c>
      <c r="E224" s="14">
        <f t="shared" si="86"/>
        <v>60.62</v>
      </c>
      <c r="F224" s="14">
        <f t="shared" si="86"/>
        <v>268.911</v>
      </c>
      <c r="G224" s="14">
        <f t="shared" si="86"/>
        <v>1865.5639999999999</v>
      </c>
      <c r="H224" s="41">
        <f t="shared" si="86"/>
        <v>0.85400000000000009</v>
      </c>
      <c r="I224" s="41">
        <f t="shared" si="86"/>
        <v>45.35</v>
      </c>
      <c r="J224" s="41">
        <f t="shared" si="86"/>
        <v>526.24</v>
      </c>
      <c r="K224" s="41">
        <f t="shared" si="86"/>
        <v>1.0899999999999999</v>
      </c>
      <c r="L224" s="41">
        <f t="shared" si="86"/>
        <v>8.07</v>
      </c>
      <c r="M224" s="41">
        <f t="shared" si="86"/>
        <v>877.71</v>
      </c>
      <c r="N224" s="41">
        <f t="shared" si="86"/>
        <v>199.89999999999998</v>
      </c>
      <c r="O224" s="41">
        <f>O223+O218+O209</f>
        <v>907.37</v>
      </c>
      <c r="P224" s="82">
        <f t="shared" si="86"/>
        <v>10.173999999999999</v>
      </c>
      <c r="Q224" s="82">
        <f t="shared" si="86"/>
        <v>883.78</v>
      </c>
      <c r="R224" s="93">
        <f t="shared" si="86"/>
        <v>8.3799999999999986E-2</v>
      </c>
      <c r="S224" s="93">
        <f>S223+S218+S209</f>
        <v>2.2800000000000001E-2</v>
      </c>
      <c r="T224" s="179">
        <f t="shared" si="86"/>
        <v>2.2570999999999999</v>
      </c>
    </row>
    <row r="225" spans="1:20" ht="24" customHeight="1" x14ac:dyDescent="0.25">
      <c r="A225" s="275" t="s">
        <v>50</v>
      </c>
      <c r="B225" s="276"/>
      <c r="C225" s="276"/>
      <c r="D225" s="276"/>
      <c r="E225" s="276"/>
      <c r="F225" s="276"/>
      <c r="G225" s="276"/>
      <c r="H225" s="276"/>
      <c r="I225" s="276"/>
      <c r="J225" s="276"/>
      <c r="K225" s="276"/>
      <c r="L225" s="276"/>
      <c r="M225" s="276"/>
      <c r="N225" s="276"/>
      <c r="O225" s="276"/>
      <c r="P225" s="276"/>
      <c r="Q225" s="221"/>
      <c r="R225" s="221"/>
      <c r="S225" s="221"/>
      <c r="T225" s="222"/>
    </row>
    <row r="226" spans="1:20" ht="24" customHeight="1" x14ac:dyDescent="0.25">
      <c r="A226" s="229" t="s">
        <v>17</v>
      </c>
      <c r="B226" s="230"/>
      <c r="C226" s="230"/>
      <c r="D226" s="230"/>
      <c r="E226" s="230"/>
      <c r="F226" s="230"/>
      <c r="G226" s="230"/>
      <c r="H226" s="230"/>
      <c r="I226" s="230"/>
      <c r="J226" s="230"/>
      <c r="K226" s="230"/>
      <c r="L226" s="230"/>
      <c r="M226" s="230"/>
      <c r="N226" s="230"/>
      <c r="O226" s="230"/>
      <c r="P226" s="230"/>
      <c r="Q226" s="221"/>
      <c r="R226" s="221"/>
      <c r="S226" s="221"/>
      <c r="T226" s="222"/>
    </row>
    <row r="227" spans="1:20" ht="31.15" customHeight="1" x14ac:dyDescent="0.25">
      <c r="A227" s="193"/>
      <c r="B227" s="155" t="s">
        <v>230</v>
      </c>
      <c r="C227" s="157" t="s">
        <v>56</v>
      </c>
      <c r="D227" s="169">
        <v>10.3</v>
      </c>
      <c r="E227" s="169">
        <v>9.1</v>
      </c>
      <c r="F227" s="169">
        <v>26.69</v>
      </c>
      <c r="G227" s="169">
        <f>(9*E227)+4*(F227+D227)</f>
        <v>229.86</v>
      </c>
      <c r="H227" s="169">
        <v>0.22</v>
      </c>
      <c r="I227" s="169">
        <v>0.06</v>
      </c>
      <c r="J227" s="169">
        <v>92.6</v>
      </c>
      <c r="K227" s="169">
        <v>0.12</v>
      </c>
      <c r="L227" s="169">
        <v>1.8</v>
      </c>
      <c r="M227" s="169">
        <v>71.239999999999995</v>
      </c>
      <c r="N227" s="169">
        <v>48.76</v>
      </c>
      <c r="O227" s="169">
        <v>57.78</v>
      </c>
      <c r="P227" s="169">
        <v>1.0660000000000001</v>
      </c>
      <c r="Q227" s="164">
        <v>67.900000000000006</v>
      </c>
      <c r="R227" s="164">
        <v>2.8999999999999998E-3</v>
      </c>
      <c r="S227" s="164">
        <v>2E-3</v>
      </c>
      <c r="T227" s="164">
        <v>1.2999999999999999E-2</v>
      </c>
    </row>
    <row r="228" spans="1:20" ht="18" customHeight="1" x14ac:dyDescent="0.25">
      <c r="A228" s="154" t="s">
        <v>101</v>
      </c>
      <c r="B228" s="155" t="s">
        <v>74</v>
      </c>
      <c r="C228" s="157">
        <v>75</v>
      </c>
      <c r="D228" s="157">
        <v>9.1999999999999993</v>
      </c>
      <c r="E228" s="157">
        <v>10.57</v>
      </c>
      <c r="F228" s="157">
        <v>23.68</v>
      </c>
      <c r="G228" s="157">
        <f t="shared" ref="G228:G230" si="87">(9*E228)+4*(F228+D228)</f>
        <v>226.64999999999998</v>
      </c>
      <c r="H228" s="157">
        <v>4.8000000000000001E-2</v>
      </c>
      <c r="I228" s="157">
        <v>0.04</v>
      </c>
      <c r="J228" s="157">
        <v>82.4</v>
      </c>
      <c r="K228" s="157">
        <v>0.23</v>
      </c>
      <c r="L228" s="157">
        <v>0.7</v>
      </c>
      <c r="M228" s="157">
        <v>62.52</v>
      </c>
      <c r="N228" s="157">
        <v>6.62</v>
      </c>
      <c r="O228" s="157">
        <v>36.700000000000003</v>
      </c>
      <c r="P228" s="158">
        <v>1.2430000000000001</v>
      </c>
      <c r="Q228" s="152">
        <v>36.200000000000003</v>
      </c>
      <c r="R228" s="152">
        <v>1E-3</v>
      </c>
      <c r="S228" s="152">
        <v>3.0000000000000001E-3</v>
      </c>
      <c r="T228" s="152">
        <v>0.52</v>
      </c>
    </row>
    <row r="229" spans="1:20" ht="36" customHeight="1" x14ac:dyDescent="0.25">
      <c r="A229" s="47" t="s">
        <v>193</v>
      </c>
      <c r="B229" s="1" t="s">
        <v>194</v>
      </c>
      <c r="C229" s="175">
        <v>200</v>
      </c>
      <c r="D229" s="175">
        <v>0</v>
      </c>
      <c r="E229" s="175">
        <v>0</v>
      </c>
      <c r="F229" s="175">
        <f>11.75*2</f>
        <v>23.5</v>
      </c>
      <c r="G229" s="169">
        <f t="shared" si="87"/>
        <v>94</v>
      </c>
      <c r="H229" s="175">
        <v>2E-3</v>
      </c>
      <c r="I229" s="175">
        <v>1.83</v>
      </c>
      <c r="J229" s="175">
        <v>0</v>
      </c>
      <c r="K229" s="175">
        <v>0</v>
      </c>
      <c r="L229" s="175">
        <v>0</v>
      </c>
      <c r="M229" s="175">
        <v>100.76</v>
      </c>
      <c r="N229" s="175">
        <v>2.4</v>
      </c>
      <c r="O229" s="175">
        <v>104</v>
      </c>
      <c r="P229" s="177">
        <v>0.15</v>
      </c>
      <c r="Q229" s="178">
        <v>110</v>
      </c>
      <c r="R229" s="178">
        <v>0</v>
      </c>
      <c r="S229" s="178">
        <v>0</v>
      </c>
      <c r="T229" s="178">
        <v>0</v>
      </c>
    </row>
    <row r="230" spans="1:20" ht="24" customHeight="1" x14ac:dyDescent="0.25">
      <c r="A230" s="154" t="s">
        <v>134</v>
      </c>
      <c r="B230" s="155" t="s">
        <v>25</v>
      </c>
      <c r="C230" s="157">
        <v>25</v>
      </c>
      <c r="D230" s="21">
        <v>1.52</v>
      </c>
      <c r="E230" s="21">
        <v>0.16</v>
      </c>
      <c r="F230" s="21">
        <v>9.98</v>
      </c>
      <c r="G230" s="11">
        <f t="shared" si="87"/>
        <v>47.44</v>
      </c>
      <c r="H230" s="21">
        <v>0.08</v>
      </c>
      <c r="I230" s="21">
        <v>0.04</v>
      </c>
      <c r="J230" s="21">
        <v>0</v>
      </c>
      <c r="K230" s="21">
        <v>0</v>
      </c>
      <c r="L230" s="21">
        <v>0</v>
      </c>
      <c r="M230" s="21">
        <v>15</v>
      </c>
      <c r="N230" s="21">
        <v>8.1999999999999993</v>
      </c>
      <c r="O230" s="21">
        <v>13</v>
      </c>
      <c r="P230" s="72">
        <v>0.72</v>
      </c>
      <c r="Q230" s="164">
        <v>18.2</v>
      </c>
      <c r="R230" s="164">
        <v>6.0000000000000001E-3</v>
      </c>
      <c r="S230" s="164">
        <v>1E-3</v>
      </c>
      <c r="T230" s="164">
        <v>0</v>
      </c>
    </row>
    <row r="231" spans="1:20" ht="24" customHeight="1" x14ac:dyDescent="0.25">
      <c r="A231" s="225" t="s">
        <v>18</v>
      </c>
      <c r="B231" s="243"/>
      <c r="C231" s="44">
        <v>510</v>
      </c>
      <c r="D231" s="4">
        <f>SUM(D227:D230)</f>
        <v>21.02</v>
      </c>
      <c r="E231" s="4">
        <f t="shared" ref="E231:P231" si="88">SUM(E227:E230)</f>
        <v>19.830000000000002</v>
      </c>
      <c r="F231" s="4">
        <f t="shared" si="88"/>
        <v>83.850000000000009</v>
      </c>
      <c r="G231" s="4">
        <f t="shared" si="88"/>
        <v>597.95000000000005</v>
      </c>
      <c r="H231" s="5">
        <f t="shared" si="88"/>
        <v>0.35000000000000003</v>
      </c>
      <c r="I231" s="5">
        <f t="shared" si="88"/>
        <v>1.9700000000000002</v>
      </c>
      <c r="J231" s="5">
        <f t="shared" si="88"/>
        <v>175</v>
      </c>
      <c r="K231" s="5">
        <f t="shared" si="88"/>
        <v>0.35</v>
      </c>
      <c r="L231" s="5">
        <f t="shared" si="88"/>
        <v>2.5</v>
      </c>
      <c r="M231" s="5">
        <f t="shared" si="88"/>
        <v>249.51999999999998</v>
      </c>
      <c r="N231" s="5">
        <f t="shared" si="88"/>
        <v>65.97999999999999</v>
      </c>
      <c r="O231" s="5">
        <f t="shared" si="88"/>
        <v>211.48000000000002</v>
      </c>
      <c r="P231" s="73">
        <f t="shared" si="88"/>
        <v>3.1790000000000003</v>
      </c>
      <c r="Q231" s="73">
        <f>SUM(Q227:Q230)</f>
        <v>232.3</v>
      </c>
      <c r="R231" s="73">
        <f>SUM(R227:R230)</f>
        <v>9.8999999999999991E-3</v>
      </c>
      <c r="S231" s="73">
        <f>SUM(S227:S230)</f>
        <v>6.0000000000000001E-3</v>
      </c>
      <c r="T231" s="5">
        <f>SUM(T227:T230)</f>
        <v>0.53300000000000003</v>
      </c>
    </row>
    <row r="232" spans="1:20" ht="24" customHeight="1" x14ac:dyDescent="0.25">
      <c r="A232" s="229" t="s">
        <v>19</v>
      </c>
      <c r="B232" s="230"/>
      <c r="C232" s="230"/>
      <c r="D232" s="230"/>
      <c r="E232" s="230"/>
      <c r="F232" s="230"/>
      <c r="G232" s="230"/>
      <c r="H232" s="230"/>
      <c r="I232" s="230"/>
      <c r="J232" s="230"/>
      <c r="K232" s="230"/>
      <c r="L232" s="230"/>
      <c r="M232" s="230"/>
      <c r="N232" s="230"/>
      <c r="O232" s="230"/>
      <c r="P232" s="230"/>
      <c r="Q232" s="221"/>
      <c r="R232" s="221"/>
      <c r="S232" s="221"/>
      <c r="T232" s="222"/>
    </row>
    <row r="233" spans="1:20" ht="38.450000000000003" customHeight="1" x14ac:dyDescent="0.25">
      <c r="A233" s="153" t="s">
        <v>153</v>
      </c>
      <c r="B233" s="155" t="s">
        <v>231</v>
      </c>
      <c r="C233" s="157" t="s">
        <v>139</v>
      </c>
      <c r="D233" s="157">
        <v>5.04</v>
      </c>
      <c r="E233" s="157">
        <v>4.3</v>
      </c>
      <c r="F233" s="157">
        <v>36.25</v>
      </c>
      <c r="G233" s="157">
        <f>D233*4+E233*9+F233*4</f>
        <v>203.86</v>
      </c>
      <c r="H233" s="157">
        <v>0.02</v>
      </c>
      <c r="I233" s="157">
        <v>4.9000000000000004</v>
      </c>
      <c r="J233" s="157">
        <v>57</v>
      </c>
      <c r="K233" s="157">
        <v>0.08</v>
      </c>
      <c r="L233" s="157">
        <v>1.27</v>
      </c>
      <c r="M233" s="157">
        <v>118.8</v>
      </c>
      <c r="N233" s="157">
        <v>28.9</v>
      </c>
      <c r="O233" s="157">
        <v>104.4</v>
      </c>
      <c r="P233" s="158">
        <v>0.12</v>
      </c>
      <c r="Q233" s="152">
        <v>84.66</v>
      </c>
      <c r="R233" s="152">
        <v>3.0000000000000001E-3</v>
      </c>
      <c r="S233" s="152">
        <v>6.0000000000000001E-3</v>
      </c>
      <c r="T233" s="152">
        <v>0.184</v>
      </c>
    </row>
    <row r="234" spans="1:20" ht="35.85" customHeight="1" x14ac:dyDescent="0.25">
      <c r="A234" s="47" t="s">
        <v>232</v>
      </c>
      <c r="B234" s="30" t="s">
        <v>233</v>
      </c>
      <c r="C234" s="161">
        <v>90</v>
      </c>
      <c r="D234" s="181">
        <v>3.66</v>
      </c>
      <c r="E234" s="181">
        <f>2.53*0.6</f>
        <v>1.5179999999999998</v>
      </c>
      <c r="F234" s="181">
        <v>5.28</v>
      </c>
      <c r="G234" s="182">
        <f>42.38*0.6</f>
        <v>25.428000000000001</v>
      </c>
      <c r="H234" s="161">
        <v>0.18</v>
      </c>
      <c r="I234" s="161">
        <v>3.75</v>
      </c>
      <c r="J234" s="161">
        <v>150</v>
      </c>
      <c r="K234" s="161">
        <v>0</v>
      </c>
      <c r="L234" s="161">
        <v>2.2999999999999998</v>
      </c>
      <c r="M234" s="161">
        <v>121</v>
      </c>
      <c r="N234" s="161">
        <v>3</v>
      </c>
      <c r="O234" s="161">
        <v>171</v>
      </c>
      <c r="P234" s="159">
        <v>0.15</v>
      </c>
      <c r="Q234" s="152">
        <v>92</v>
      </c>
      <c r="R234" s="152">
        <v>0</v>
      </c>
      <c r="S234" s="152">
        <v>1.8E-3</v>
      </c>
      <c r="T234" s="152">
        <v>9.0999999999999998E-2</v>
      </c>
    </row>
    <row r="235" spans="1:20" ht="30.95" customHeight="1" x14ac:dyDescent="0.25">
      <c r="A235" s="47" t="s">
        <v>234</v>
      </c>
      <c r="B235" s="1" t="s">
        <v>28</v>
      </c>
      <c r="C235" s="175">
        <v>150</v>
      </c>
      <c r="D235" s="175">
        <f>22.94*0.7</f>
        <v>16.058</v>
      </c>
      <c r="E235" s="175">
        <f>21.07*0.7</f>
        <v>14.748999999999999</v>
      </c>
      <c r="F235" s="175">
        <v>33.08</v>
      </c>
      <c r="G235" s="175">
        <f>298.75*0.7</f>
        <v>209.125</v>
      </c>
      <c r="H235" s="175">
        <v>0.1</v>
      </c>
      <c r="I235" s="175">
        <v>2.2000000000000002</v>
      </c>
      <c r="J235" s="175">
        <v>16.399999999999999</v>
      </c>
      <c r="K235" s="175">
        <v>0.17499999999999999</v>
      </c>
      <c r="L235" s="175">
        <v>0</v>
      </c>
      <c r="M235" s="175">
        <v>57.9</v>
      </c>
      <c r="N235" s="175">
        <v>22.1</v>
      </c>
      <c r="O235" s="175">
        <v>75.099999999999994</v>
      </c>
      <c r="P235" s="177">
        <v>1.67</v>
      </c>
      <c r="Q235" s="178">
        <v>76.599999999999994</v>
      </c>
      <c r="R235" s="178">
        <v>0</v>
      </c>
      <c r="S235" s="178">
        <v>4.5999999999999999E-3</v>
      </c>
      <c r="T235" s="178">
        <v>0</v>
      </c>
    </row>
    <row r="236" spans="1:20" ht="24" customHeight="1" x14ac:dyDescent="0.25">
      <c r="A236" s="174" t="s">
        <v>235</v>
      </c>
      <c r="B236" s="1" t="s">
        <v>238</v>
      </c>
      <c r="C236" s="175">
        <v>60</v>
      </c>
      <c r="D236" s="175">
        <v>1.36</v>
      </c>
      <c r="E236" s="175">
        <v>6.86</v>
      </c>
      <c r="F236" s="175">
        <v>9.3000000000000007</v>
      </c>
      <c r="G236" s="175">
        <f>178.58*1.5</f>
        <v>267.87</v>
      </c>
      <c r="H236" s="175">
        <v>1.2E-2</v>
      </c>
      <c r="I236" s="175">
        <v>5.95</v>
      </c>
      <c r="J236" s="175">
        <v>25.4</v>
      </c>
      <c r="K236" s="175">
        <v>0.22</v>
      </c>
      <c r="L236" s="175">
        <v>1.2E-2</v>
      </c>
      <c r="M236" s="175">
        <v>89.67</v>
      </c>
      <c r="N236" s="175">
        <v>22.82</v>
      </c>
      <c r="O236" s="184">
        <v>85.03</v>
      </c>
      <c r="P236" s="177">
        <v>0.81</v>
      </c>
      <c r="Q236" s="178">
        <v>200.6</v>
      </c>
      <c r="R236" s="178">
        <v>2E-3</v>
      </c>
      <c r="S236" s="178">
        <v>6.0000000000000001E-3</v>
      </c>
      <c r="T236" s="178">
        <v>0.54</v>
      </c>
    </row>
    <row r="237" spans="1:20" ht="34.700000000000003" customHeight="1" x14ac:dyDescent="0.25">
      <c r="A237" s="174" t="s">
        <v>236</v>
      </c>
      <c r="B237" s="1" t="s">
        <v>70</v>
      </c>
      <c r="C237" s="175">
        <v>200</v>
      </c>
      <c r="D237" s="175">
        <f>0.1*2</f>
        <v>0.2</v>
      </c>
      <c r="E237" s="175">
        <f>0.06*2</f>
        <v>0.12</v>
      </c>
      <c r="F237" s="175">
        <f>7.7*2</f>
        <v>15.4</v>
      </c>
      <c r="G237" s="175">
        <f>31.78*2</f>
        <v>63.56</v>
      </c>
      <c r="H237" s="175">
        <v>0</v>
      </c>
      <c r="I237" s="175">
        <v>0.1</v>
      </c>
      <c r="J237" s="175">
        <v>0</v>
      </c>
      <c r="K237" s="175">
        <v>0</v>
      </c>
      <c r="L237" s="175">
        <v>0</v>
      </c>
      <c r="M237" s="175">
        <v>5.25</v>
      </c>
      <c r="N237" s="175">
        <v>4.4000000000000004</v>
      </c>
      <c r="O237" s="175">
        <v>8.24</v>
      </c>
      <c r="P237" s="175">
        <v>0.86</v>
      </c>
      <c r="Q237" s="178">
        <v>0</v>
      </c>
      <c r="R237" s="178">
        <v>8.0000000000000002E-3</v>
      </c>
      <c r="S237" s="178">
        <v>0</v>
      </c>
      <c r="T237" s="178">
        <v>0.32</v>
      </c>
    </row>
    <row r="238" spans="1:20" ht="24" customHeight="1" x14ac:dyDescent="0.25">
      <c r="A238" s="48" t="s">
        <v>93</v>
      </c>
      <c r="B238" s="155" t="s">
        <v>25</v>
      </c>
      <c r="C238" s="157">
        <v>25</v>
      </c>
      <c r="D238" s="21">
        <v>1.52</v>
      </c>
      <c r="E238" s="21">
        <v>0.16</v>
      </c>
      <c r="F238" s="21">
        <v>9.98</v>
      </c>
      <c r="G238" s="11">
        <f t="shared" ref="G238" si="89">(9*E238)+4*(F238+D238)</f>
        <v>47.44</v>
      </c>
      <c r="H238" s="21">
        <v>0.08</v>
      </c>
      <c r="I238" s="21">
        <v>0.04</v>
      </c>
      <c r="J238" s="21">
        <v>0</v>
      </c>
      <c r="K238" s="21">
        <v>0</v>
      </c>
      <c r="L238" s="21">
        <v>0</v>
      </c>
      <c r="M238" s="21">
        <v>15</v>
      </c>
      <c r="N238" s="21">
        <v>8.1999999999999993</v>
      </c>
      <c r="O238" s="21">
        <v>13</v>
      </c>
      <c r="P238" s="72">
        <v>0.72</v>
      </c>
      <c r="Q238" s="152">
        <v>18.2</v>
      </c>
      <c r="R238" s="152">
        <v>6.0000000000000001E-3</v>
      </c>
      <c r="S238" s="152">
        <v>1E-3</v>
      </c>
      <c r="T238" s="152">
        <v>0</v>
      </c>
    </row>
    <row r="239" spans="1:20" ht="24" customHeight="1" x14ac:dyDescent="0.25">
      <c r="A239" s="48" t="s">
        <v>94</v>
      </c>
      <c r="B239" s="3" t="s">
        <v>27</v>
      </c>
      <c r="C239" s="157">
        <v>25</v>
      </c>
      <c r="D239" s="157">
        <v>1.32</v>
      </c>
      <c r="E239" s="157">
        <v>0.24</v>
      </c>
      <c r="F239" s="157">
        <v>8.36</v>
      </c>
      <c r="G239" s="157">
        <f>(9*E239)+4*(F239+D239)</f>
        <v>40.879999999999995</v>
      </c>
      <c r="H239" s="157">
        <v>0.03</v>
      </c>
      <c r="I239" s="157">
        <v>0</v>
      </c>
      <c r="J239" s="157">
        <v>0</v>
      </c>
      <c r="K239" s="157">
        <v>0</v>
      </c>
      <c r="L239" s="157">
        <v>0</v>
      </c>
      <c r="M239" s="157">
        <v>5.08</v>
      </c>
      <c r="N239" s="157">
        <v>4.96</v>
      </c>
      <c r="O239" s="157">
        <v>40</v>
      </c>
      <c r="P239" s="158">
        <v>0.4</v>
      </c>
      <c r="Q239" s="152">
        <v>16.2</v>
      </c>
      <c r="R239" s="152">
        <v>6.0000000000000001E-3</v>
      </c>
      <c r="S239" s="152">
        <v>1E-3</v>
      </c>
      <c r="T239" s="152">
        <v>0</v>
      </c>
    </row>
    <row r="240" spans="1:20" ht="24" customHeight="1" x14ac:dyDescent="0.25">
      <c r="A240" s="225" t="s">
        <v>18</v>
      </c>
      <c r="B240" s="266"/>
      <c r="C240" s="101">
        <f>SUM(C234:C239)+250+25</f>
        <v>825</v>
      </c>
      <c r="D240" s="4">
        <f>SUM(D233:D239)</f>
        <v>29.157999999999998</v>
      </c>
      <c r="E240" s="4">
        <f t="shared" ref="E240:P240" si="90">SUM(E233:E239)</f>
        <v>27.946999999999999</v>
      </c>
      <c r="F240" s="4">
        <f t="shared" si="90"/>
        <v>117.65</v>
      </c>
      <c r="G240" s="4">
        <f t="shared" si="90"/>
        <v>858.16300000000012</v>
      </c>
      <c r="H240" s="5">
        <f t="shared" si="90"/>
        <v>0.42200000000000004</v>
      </c>
      <c r="I240" s="5">
        <f t="shared" si="90"/>
        <v>16.940000000000001</v>
      </c>
      <c r="J240" s="5">
        <f t="shared" si="90"/>
        <v>248.8</v>
      </c>
      <c r="K240" s="5">
        <f t="shared" si="90"/>
        <v>0.47499999999999998</v>
      </c>
      <c r="L240" s="5">
        <f>SUM(L233:L239)</f>
        <v>3.5819999999999999</v>
      </c>
      <c r="M240" s="5">
        <f t="shared" si="90"/>
        <v>412.7</v>
      </c>
      <c r="N240" s="5">
        <f t="shared" si="90"/>
        <v>94.38</v>
      </c>
      <c r="O240" s="5">
        <f t="shared" si="90"/>
        <v>496.77</v>
      </c>
      <c r="P240" s="73">
        <f t="shared" si="90"/>
        <v>4.7300000000000004</v>
      </c>
      <c r="Q240" s="62">
        <f>SUM(Q233:Q239)</f>
        <v>488.26</v>
      </c>
      <c r="R240" s="62">
        <f>SUM(R233:R239)</f>
        <v>2.5000000000000001E-2</v>
      </c>
      <c r="S240" s="62">
        <f t="shared" ref="S240:T240" si="91">SUM(S233:S239)</f>
        <v>2.0400000000000001E-2</v>
      </c>
      <c r="T240" s="62">
        <f t="shared" si="91"/>
        <v>1.135</v>
      </c>
    </row>
    <row r="241" spans="1:20" ht="24" customHeight="1" x14ac:dyDescent="0.25">
      <c r="A241" s="229" t="s">
        <v>40</v>
      </c>
      <c r="B241" s="230"/>
      <c r="C241" s="230"/>
      <c r="D241" s="230"/>
      <c r="E241" s="230"/>
      <c r="F241" s="230"/>
      <c r="G241" s="230"/>
      <c r="H241" s="230"/>
      <c r="I241" s="230"/>
      <c r="J241" s="230"/>
      <c r="K241" s="230"/>
      <c r="L241" s="230"/>
      <c r="M241" s="230"/>
      <c r="N241" s="230"/>
      <c r="O241" s="230"/>
      <c r="P241" s="230"/>
      <c r="Q241" s="221"/>
      <c r="R241" s="221"/>
      <c r="S241" s="221"/>
      <c r="T241" s="222"/>
    </row>
    <row r="242" spans="1:20" ht="24" customHeight="1" x14ac:dyDescent="0.25">
      <c r="A242" s="154" t="s">
        <v>111</v>
      </c>
      <c r="B242" s="155" t="s">
        <v>58</v>
      </c>
      <c r="C242" s="157">
        <v>75</v>
      </c>
      <c r="D242" s="157">
        <v>5.6</v>
      </c>
      <c r="E242" s="157">
        <v>7.84</v>
      </c>
      <c r="F242" s="157">
        <v>9.4</v>
      </c>
      <c r="G242" s="157">
        <f>F242*4+E242*9+D242*4</f>
        <v>130.56</v>
      </c>
      <c r="H242" s="157">
        <v>0.06</v>
      </c>
      <c r="I242" s="157">
        <v>2.6</v>
      </c>
      <c r="J242" s="157">
        <v>64</v>
      </c>
      <c r="K242" s="157">
        <v>0.15</v>
      </c>
      <c r="L242" s="157">
        <v>0.7</v>
      </c>
      <c r="M242" s="157">
        <v>140</v>
      </c>
      <c r="N242" s="157">
        <v>23</v>
      </c>
      <c r="O242" s="157">
        <v>120</v>
      </c>
      <c r="P242" s="158">
        <v>0.2</v>
      </c>
      <c r="Q242" s="152">
        <v>146</v>
      </c>
      <c r="R242" s="152">
        <v>8.9999999999999993E-3</v>
      </c>
      <c r="S242" s="152">
        <v>2.0000000000000001E-4</v>
      </c>
      <c r="T242" s="152">
        <v>2E-3</v>
      </c>
    </row>
    <row r="243" spans="1:20" ht="31.5" customHeight="1" x14ac:dyDescent="0.25">
      <c r="A243" s="48"/>
      <c r="B243" s="155" t="s">
        <v>237</v>
      </c>
      <c r="C243" s="157">
        <v>20</v>
      </c>
      <c r="D243" s="157">
        <v>2.4</v>
      </c>
      <c r="E243" s="157">
        <v>1.02</v>
      </c>
      <c r="F243" s="157">
        <v>18.100000000000001</v>
      </c>
      <c r="G243" s="169">
        <f t="shared" ref="G243:G245" si="92">F243*4+E243*9+D243*4</f>
        <v>91.18</v>
      </c>
      <c r="H243" s="157">
        <v>0.06</v>
      </c>
      <c r="I243" s="157">
        <v>4</v>
      </c>
      <c r="J243" s="157">
        <v>39</v>
      </c>
      <c r="K243" s="157">
        <v>0.04</v>
      </c>
      <c r="L243" s="157">
        <v>0.8</v>
      </c>
      <c r="M243" s="157">
        <v>6</v>
      </c>
      <c r="N243" s="157">
        <v>0</v>
      </c>
      <c r="O243" s="157">
        <v>10</v>
      </c>
      <c r="P243" s="158">
        <v>0</v>
      </c>
      <c r="Q243" s="152">
        <v>19</v>
      </c>
      <c r="R243" s="152">
        <v>0</v>
      </c>
      <c r="S243" s="152">
        <v>0</v>
      </c>
      <c r="T243" s="152">
        <v>0.02</v>
      </c>
    </row>
    <row r="244" spans="1:20" ht="27" customHeight="1" x14ac:dyDescent="0.25">
      <c r="A244" s="153" t="s">
        <v>99</v>
      </c>
      <c r="B244" s="155" t="s">
        <v>160</v>
      </c>
      <c r="C244" s="157" t="s">
        <v>56</v>
      </c>
      <c r="D244" s="157">
        <v>0.48</v>
      </c>
      <c r="E244" s="157">
        <v>0.48</v>
      </c>
      <c r="F244" s="157">
        <v>11.86</v>
      </c>
      <c r="G244" s="169">
        <f t="shared" si="92"/>
        <v>53.68</v>
      </c>
      <c r="H244" s="161">
        <v>0.03</v>
      </c>
      <c r="I244" s="161">
        <v>10</v>
      </c>
      <c r="J244" s="161">
        <v>0.03</v>
      </c>
      <c r="K244" s="161">
        <v>0.02</v>
      </c>
      <c r="L244" s="161">
        <v>0</v>
      </c>
      <c r="M244" s="161">
        <v>9.5</v>
      </c>
      <c r="N244" s="161">
        <v>7</v>
      </c>
      <c r="O244" s="161">
        <v>9.5</v>
      </c>
      <c r="P244" s="159">
        <v>1.2</v>
      </c>
      <c r="Q244" s="152">
        <v>0.4</v>
      </c>
      <c r="R244" s="152">
        <v>1.7000000000000001E-2</v>
      </c>
      <c r="S244" s="152">
        <v>0</v>
      </c>
      <c r="T244" s="152">
        <v>0.5</v>
      </c>
    </row>
    <row r="245" spans="1:20" ht="34.9" customHeight="1" x14ac:dyDescent="0.25">
      <c r="A245" s="153"/>
      <c r="B245" s="18" t="s">
        <v>184</v>
      </c>
      <c r="C245" s="150">
        <v>65</v>
      </c>
      <c r="D245" s="150">
        <v>2.9</v>
      </c>
      <c r="E245" s="150">
        <v>2.1</v>
      </c>
      <c r="F245" s="150">
        <v>11.34</v>
      </c>
      <c r="G245" s="169">
        <f t="shared" si="92"/>
        <v>75.86</v>
      </c>
      <c r="H245" s="161">
        <v>0.03</v>
      </c>
      <c r="I245" s="161">
        <v>10</v>
      </c>
      <c r="J245" s="161">
        <v>0.03</v>
      </c>
      <c r="K245" s="161">
        <v>0.02</v>
      </c>
      <c r="L245" s="161">
        <v>0</v>
      </c>
      <c r="M245" s="161">
        <v>9.5</v>
      </c>
      <c r="N245" s="161">
        <v>7</v>
      </c>
      <c r="O245" s="161">
        <v>9.5</v>
      </c>
      <c r="P245" s="159">
        <v>1.2</v>
      </c>
      <c r="Q245" s="152">
        <v>0.4</v>
      </c>
      <c r="R245" s="152">
        <v>1.7000000000000001E-2</v>
      </c>
      <c r="S245" s="152">
        <v>0</v>
      </c>
      <c r="T245" s="152">
        <v>0.06</v>
      </c>
    </row>
    <row r="246" spans="1:20" ht="24" customHeight="1" x14ac:dyDescent="0.25">
      <c r="A246" s="244" t="s">
        <v>18</v>
      </c>
      <c r="B246" s="245"/>
      <c r="C246" s="101">
        <v>370</v>
      </c>
      <c r="D246" s="4">
        <f>SUM(D242:D245)</f>
        <v>11.38</v>
      </c>
      <c r="E246" s="4">
        <f t="shared" ref="E246:G246" si="93">SUM(E242:E245)</f>
        <v>11.44</v>
      </c>
      <c r="F246" s="4">
        <f t="shared" si="93"/>
        <v>50.7</v>
      </c>
      <c r="G246" s="4">
        <f t="shared" si="93"/>
        <v>351.28000000000003</v>
      </c>
      <c r="H246" s="38">
        <f>SUM(H242:H245)</f>
        <v>0.18</v>
      </c>
      <c r="I246" s="38">
        <f t="shared" ref="I246:T246" si="94">SUM(I242:I245)</f>
        <v>26.6</v>
      </c>
      <c r="J246" s="38">
        <f t="shared" si="94"/>
        <v>103.06</v>
      </c>
      <c r="K246" s="38">
        <f t="shared" si="94"/>
        <v>0.22999999999999998</v>
      </c>
      <c r="L246" s="38">
        <f t="shared" si="94"/>
        <v>1.5</v>
      </c>
      <c r="M246" s="38">
        <f t="shared" si="94"/>
        <v>165</v>
      </c>
      <c r="N246" s="38">
        <f t="shared" si="94"/>
        <v>37</v>
      </c>
      <c r="O246" s="38">
        <f t="shared" si="94"/>
        <v>149</v>
      </c>
      <c r="P246" s="38">
        <f t="shared" si="94"/>
        <v>2.5999999999999996</v>
      </c>
      <c r="Q246" s="38">
        <f t="shared" si="94"/>
        <v>165.8</v>
      </c>
      <c r="R246" s="38">
        <f t="shared" si="94"/>
        <v>4.3000000000000003E-2</v>
      </c>
      <c r="S246" s="38">
        <f t="shared" si="94"/>
        <v>2.0000000000000001E-4</v>
      </c>
      <c r="T246" s="38">
        <f t="shared" si="94"/>
        <v>0.58200000000000007</v>
      </c>
    </row>
    <row r="247" spans="1:20" ht="24" customHeight="1" x14ac:dyDescent="0.25">
      <c r="A247" s="225" t="s">
        <v>20</v>
      </c>
      <c r="B247" s="226"/>
      <c r="C247" s="44">
        <f>+C231+C240+C246</f>
        <v>1705</v>
      </c>
      <c r="D247" s="4">
        <f>D231+D240+D246</f>
        <v>61.558</v>
      </c>
      <c r="E247" s="4">
        <f>E231+E240+E246</f>
        <v>59.216999999999999</v>
      </c>
      <c r="F247" s="4">
        <f>F231+F240+F246</f>
        <v>252.2</v>
      </c>
      <c r="G247" s="4">
        <f>G231+G240+G246</f>
        <v>1807.3930000000003</v>
      </c>
      <c r="H247" s="37">
        <f t="shared" ref="H247:T247" si="95">H231+H240+H246</f>
        <v>0.95199999999999996</v>
      </c>
      <c r="I247" s="37">
        <f t="shared" si="95"/>
        <v>45.510000000000005</v>
      </c>
      <c r="J247" s="37">
        <f t="shared" si="95"/>
        <v>526.86</v>
      </c>
      <c r="K247" s="37">
        <f t="shared" si="95"/>
        <v>1.0549999999999999</v>
      </c>
      <c r="L247" s="37">
        <f t="shared" si="95"/>
        <v>7.5819999999999999</v>
      </c>
      <c r="M247" s="37">
        <f t="shared" si="95"/>
        <v>827.22</v>
      </c>
      <c r="N247" s="37">
        <f t="shared" si="95"/>
        <v>197.35999999999999</v>
      </c>
      <c r="O247" s="37">
        <f>O231+O240+O246</f>
        <v>857.25</v>
      </c>
      <c r="P247" s="75">
        <f>P231+P240+P246</f>
        <v>10.509</v>
      </c>
      <c r="Q247" s="75">
        <f t="shared" si="95"/>
        <v>886.3599999999999</v>
      </c>
      <c r="R247" s="75">
        <f t="shared" si="95"/>
        <v>7.7899999999999997E-2</v>
      </c>
      <c r="S247" s="75">
        <f t="shared" si="95"/>
        <v>2.6599999999999999E-2</v>
      </c>
      <c r="T247" s="37">
        <f t="shared" si="95"/>
        <v>2.25</v>
      </c>
    </row>
    <row r="248" spans="1:20" ht="24" customHeight="1" x14ac:dyDescent="0.25">
      <c r="A248" s="219" t="s">
        <v>77</v>
      </c>
      <c r="B248" s="220"/>
      <c r="C248" s="220"/>
      <c r="D248" s="220"/>
      <c r="E248" s="220"/>
      <c r="F248" s="220"/>
      <c r="G248" s="220"/>
      <c r="H248" s="220"/>
      <c r="I248" s="220"/>
      <c r="J248" s="220"/>
      <c r="K248" s="220"/>
      <c r="L248" s="220"/>
      <c r="M248" s="220"/>
      <c r="N248" s="220"/>
      <c r="O248" s="220"/>
      <c r="P248" s="220"/>
      <c r="Q248" s="221"/>
      <c r="R248" s="221"/>
      <c r="S248" s="221"/>
      <c r="T248" s="222"/>
    </row>
    <row r="249" spans="1:20" ht="24" customHeight="1" x14ac:dyDescent="0.25">
      <c r="A249" s="58"/>
      <c r="B249" s="102"/>
      <c r="C249" s="227" t="s">
        <v>152</v>
      </c>
      <c r="D249" s="231" t="s">
        <v>6</v>
      </c>
      <c r="E249" s="232"/>
      <c r="F249" s="233"/>
      <c r="G249" s="241" t="s">
        <v>76</v>
      </c>
      <c r="H249" s="223" t="s">
        <v>14</v>
      </c>
      <c r="I249" s="224"/>
      <c r="J249" s="224"/>
      <c r="K249" s="224"/>
      <c r="L249" s="222"/>
      <c r="M249" s="223" t="s">
        <v>15</v>
      </c>
      <c r="N249" s="224"/>
      <c r="O249" s="224"/>
      <c r="P249" s="224"/>
      <c r="Q249" s="221"/>
      <c r="R249" s="221"/>
      <c r="S249" s="221"/>
      <c r="T249" s="222"/>
    </row>
    <row r="250" spans="1:20" ht="39" customHeight="1" x14ac:dyDescent="0.25">
      <c r="A250" s="59"/>
      <c r="B250" s="104"/>
      <c r="C250" s="228"/>
      <c r="D250" s="98" t="s">
        <v>3</v>
      </c>
      <c r="E250" s="98" t="s">
        <v>4</v>
      </c>
      <c r="F250" s="98" t="s">
        <v>5</v>
      </c>
      <c r="G250" s="242"/>
      <c r="H250" s="61" t="s">
        <v>7</v>
      </c>
      <c r="I250" s="61" t="s">
        <v>8</v>
      </c>
      <c r="J250" s="61" t="s">
        <v>9</v>
      </c>
      <c r="K250" s="61" t="s">
        <v>146</v>
      </c>
      <c r="L250" s="61" t="s">
        <v>151</v>
      </c>
      <c r="M250" s="61" t="s">
        <v>10</v>
      </c>
      <c r="N250" s="61" t="s">
        <v>11</v>
      </c>
      <c r="O250" s="61" t="s">
        <v>12</v>
      </c>
      <c r="P250" s="103" t="s">
        <v>13</v>
      </c>
      <c r="Q250" s="102" t="s">
        <v>147</v>
      </c>
      <c r="R250" s="102" t="s">
        <v>148</v>
      </c>
      <c r="S250" s="102" t="s">
        <v>149</v>
      </c>
      <c r="T250" s="102" t="s">
        <v>150</v>
      </c>
    </row>
    <row r="251" spans="1:20" ht="24" customHeight="1" x14ac:dyDescent="0.25">
      <c r="A251" s="56" t="s">
        <v>17</v>
      </c>
      <c r="B251" s="22"/>
      <c r="C251" s="23">
        <f>SUM(C12+C36+C58+C81+C104+C142+C164+C186+C209+C231)/10</f>
        <v>528.5</v>
      </c>
      <c r="D251" s="24">
        <f>(D12+D36+D58+D81+D104+D142+D164+D186+D209+D231)/10</f>
        <v>20.098800000000004</v>
      </c>
      <c r="E251" s="24">
        <v>20.64</v>
      </c>
      <c r="F251" s="24">
        <v>83.43</v>
      </c>
      <c r="G251" s="24">
        <f>(G12+G36+G58+G81+G104+G142+G164+G186+G209+G231)/10</f>
        <v>577.80590000000007</v>
      </c>
      <c r="H251" s="39">
        <f>SUM(H12+H36+H58+H81+H104+H142+H164+H186+H209+H231)/10</f>
        <v>0.3755</v>
      </c>
      <c r="I251" s="39">
        <f>SUM(I12+I36+I58+I81+I104+I142+I164+I186+I209+I231)/10</f>
        <v>10.65</v>
      </c>
      <c r="J251" s="39">
        <f>SUM(J12+J36+J58+J81+J104+J142+J164+J186+J209+J231)/10</f>
        <v>186.27999999999997</v>
      </c>
      <c r="K251" s="39">
        <f>SUM(K12+K36+K58+K81+K104+K142+K164+K186+K209+K231)/10</f>
        <v>0.34620000000000001</v>
      </c>
      <c r="L251" s="39">
        <v>2.5</v>
      </c>
      <c r="M251" s="39">
        <f t="shared" ref="M251:T251" si="96">SUM(M12+M36+M58+M81+M104+M142+M164+M186+M209+M231)/10</f>
        <v>287.18900000000002</v>
      </c>
      <c r="N251" s="39">
        <f t="shared" si="96"/>
        <v>71.835999999999999</v>
      </c>
      <c r="O251" s="39">
        <f t="shared" si="96"/>
        <v>268.745</v>
      </c>
      <c r="P251" s="78">
        <f t="shared" si="96"/>
        <v>3.3234000000000004</v>
      </c>
      <c r="Q251" s="78">
        <f t="shared" si="96"/>
        <v>273.81700000000001</v>
      </c>
      <c r="R251" s="78">
        <f t="shared" si="96"/>
        <v>2.053E-2</v>
      </c>
      <c r="S251" s="78">
        <f t="shared" si="96"/>
        <v>6.9900000000000006E-3</v>
      </c>
      <c r="T251" s="39">
        <f t="shared" si="96"/>
        <v>0.88431999999999999</v>
      </c>
    </row>
    <row r="252" spans="1:20" ht="24" customHeight="1" x14ac:dyDescent="0.25">
      <c r="A252" s="56" t="s">
        <v>23</v>
      </c>
      <c r="B252" s="22"/>
      <c r="C252" s="23">
        <f>SUM(C22+C45+C67+C90+C113+C150+C172+C195+C218+C240)/10</f>
        <v>795</v>
      </c>
      <c r="D252" s="24">
        <f>(D240+D218+D195+D172+D150+D113+D90+D67+D45+D22)/10</f>
        <v>29.374299999999998</v>
      </c>
      <c r="E252" s="24">
        <f>(E240+E218+E195+E172+E150+E113+E90+E67+E45+E22)/10</f>
        <v>30.318699999999989</v>
      </c>
      <c r="F252" s="24">
        <f>(F240+F218+F195+F172+F150+F113+F90+F67+F45+F22)/10</f>
        <v>117.5626</v>
      </c>
      <c r="G252" s="24">
        <v>824.6</v>
      </c>
      <c r="H252" s="39">
        <f>SUM(H22+H45+H67+H90+H113+H150+H172+H195+H218+H240)/10</f>
        <v>0.41464999999999996</v>
      </c>
      <c r="I252" s="39">
        <f>SUM(I22+I45+I67+I90+I113+I150+I172+I195+I218+I240)/10</f>
        <v>24.375</v>
      </c>
      <c r="J252" s="39">
        <f>SUM(J22+J45+J67+J90+J113+J150+J172+J195+J218+J240)/10</f>
        <v>264.43</v>
      </c>
      <c r="K252" s="39">
        <f>SUM(K22+K45+K67+K90+K113+K150+K172+K195+K218+K240)/10</f>
        <v>0.53889999999999993</v>
      </c>
      <c r="L252" s="39">
        <v>3.5</v>
      </c>
      <c r="M252" s="39">
        <f t="shared" ref="M252:T252" si="97">SUM(M22+M45+M67+M90+M113+M150+M172+M195+M218+M240)/10</f>
        <v>348.892</v>
      </c>
      <c r="N252" s="39">
        <f t="shared" si="97"/>
        <v>90.144999999999996</v>
      </c>
      <c r="O252" s="39">
        <f t="shared" si="97"/>
        <v>398.40350000000001</v>
      </c>
      <c r="P252" s="78">
        <f t="shared" si="97"/>
        <v>4.6109999999999998</v>
      </c>
      <c r="Q252" s="78">
        <f t="shared" si="97"/>
        <v>444.03800000000001</v>
      </c>
      <c r="R252" s="78">
        <f t="shared" si="97"/>
        <v>3.6705000000000002E-2</v>
      </c>
      <c r="S252" s="78">
        <f t="shared" si="97"/>
        <v>1.3684999999999999E-2</v>
      </c>
      <c r="T252" s="39">
        <f t="shared" si="97"/>
        <v>1.4064000000000001</v>
      </c>
    </row>
    <row r="253" spans="1:20" ht="24" customHeight="1" x14ac:dyDescent="0.25">
      <c r="A253" s="56" t="s">
        <v>40</v>
      </c>
      <c r="B253" s="22"/>
      <c r="C253" s="23">
        <f>SUM(C27+C50+C72+C95+C118+C155+C177+C200+C223+C246)/10</f>
        <v>359</v>
      </c>
      <c r="D253" s="24">
        <f>(D246+D223+D200+D177+D155+D118+D95+D72+D50+D27)/10</f>
        <v>11.585700000000001</v>
      </c>
      <c r="E253" s="24">
        <f>(E246+E223+E200+E177+E155+E118+E95+E72+E50+E27)/10</f>
        <v>11.412999999999998</v>
      </c>
      <c r="F253" s="24">
        <f>(F246+F223+F200+F177+F155+F118+F95+F72+F50+F27)/10</f>
        <v>63.010000000000005</v>
      </c>
      <c r="G253" s="24">
        <f>(G246+G223+G200+G177+G155+G118+G95+G72+G50+G27)/10</f>
        <v>404.23779999999999</v>
      </c>
      <c r="H253" s="39">
        <f>SUM(H27+H50+H72+H95+H118+H155+H177++H200+H223+H246)/10</f>
        <v>0.17679999999999998</v>
      </c>
      <c r="I253" s="39">
        <f>SUM(I27+I50+I72+I95+I118+I155+I177++I200+I223+I246)/10</f>
        <v>12.366</v>
      </c>
      <c r="J253" s="39">
        <f>SUM(J27+J50+J72+J95+J118+J155+J177++J200+J223+J246)/10</f>
        <v>102.84399999999998</v>
      </c>
      <c r="K253" s="39">
        <f>SUM(K27+K50+K72+K95+K118+K155+K177++K200+K223+K246)/10</f>
        <v>0.21915000000000001</v>
      </c>
      <c r="L253" s="39">
        <v>1.5</v>
      </c>
      <c r="M253" s="39">
        <f t="shared" ref="M253:T253" si="98">SUM(M27+M50+M72+M95+M118+M155+M177++M200+M223+M246)/10</f>
        <v>231.17500000000004</v>
      </c>
      <c r="N253" s="39">
        <f t="shared" si="98"/>
        <v>35.74</v>
      </c>
      <c r="O253" s="39">
        <f t="shared" si="98"/>
        <v>202.15000000000003</v>
      </c>
      <c r="P253" s="78">
        <f t="shared" si="98"/>
        <v>1.8716000000000002</v>
      </c>
      <c r="Q253" s="78">
        <f t="shared" si="98"/>
        <v>153.41000000000003</v>
      </c>
      <c r="R253" s="78">
        <f t="shared" si="98"/>
        <v>2.1800000000000003E-2</v>
      </c>
      <c r="S253" s="78">
        <f t="shared" si="98"/>
        <v>2.5499999999999997E-3</v>
      </c>
      <c r="T253" s="39">
        <f t="shared" si="98"/>
        <v>0.58520000000000005</v>
      </c>
    </row>
    <row r="254" spans="1:20" ht="24" customHeight="1" x14ac:dyDescent="0.25">
      <c r="A254" s="56" t="s">
        <v>53</v>
      </c>
      <c r="B254" s="25"/>
      <c r="C254" s="23">
        <f>SUM(C28+C51+C73+C96+C119+C156+C178+C201+C224+C247)/10</f>
        <v>1682.5</v>
      </c>
      <c r="D254" s="24">
        <f>SUM(D251:D253)</f>
        <v>61.058800000000005</v>
      </c>
      <c r="E254" s="24">
        <f>SUM(E251:E253)</f>
        <v>62.37169999999999</v>
      </c>
      <c r="F254" s="24">
        <f>SUM(F251:F253)</f>
        <v>264.00260000000003</v>
      </c>
      <c r="G254" s="24">
        <f>SUM(G251:G253)</f>
        <v>1806.6437000000001</v>
      </c>
      <c r="H254" s="24">
        <f t="shared" ref="H254:O254" si="99">SUM(H28+H51+H73+H96+H119+H156+H178+H201+H224+H247)/10</f>
        <v>0.96695000000000009</v>
      </c>
      <c r="I254" s="24">
        <f t="shared" si="99"/>
        <v>47.391000000000005</v>
      </c>
      <c r="J254" s="24">
        <f t="shared" si="99"/>
        <v>553.55399999999997</v>
      </c>
      <c r="K254" s="24">
        <f t="shared" si="99"/>
        <v>1.10425</v>
      </c>
      <c r="L254" s="24">
        <f t="shared" si="99"/>
        <v>7.9614000000000003</v>
      </c>
      <c r="M254" s="24">
        <f t="shared" si="99"/>
        <v>867.25599999999997</v>
      </c>
      <c r="N254" s="24">
        <f t="shared" si="99"/>
        <v>197.72099999999998</v>
      </c>
      <c r="O254" s="24">
        <f t="shared" si="99"/>
        <v>869.2985000000001</v>
      </c>
      <c r="P254" s="79">
        <f>SUM(P28+P51+P73+P96+P119+P156+P178+P201+P218+P247)/10</f>
        <v>9.3285999999999998</v>
      </c>
      <c r="Q254" s="79">
        <f>SUM(Q28+Q51+Q73+Q96+Q119+Q156+Q178+Q201+Q224+Q247)/10</f>
        <v>871.26499999999999</v>
      </c>
      <c r="R254" s="79">
        <f>SUM(R28+R51+R73+R96+R119+R156+R178+R201+R224+R247)/10</f>
        <v>7.9034999999999994E-2</v>
      </c>
      <c r="S254" s="79">
        <f>SUM(S28+S51+S73+S96+S119+S156+S178+S201+S224+S247)/10</f>
        <v>2.3225000000000003E-2</v>
      </c>
      <c r="T254" s="24">
        <f>SUM(T28+T51+T73+T96+T119+T156+T178+T201+T224+T247)/10</f>
        <v>2.8759199999999998</v>
      </c>
    </row>
    <row r="255" spans="1:20" ht="24" customHeight="1" x14ac:dyDescent="0.25">
      <c r="A255" s="273" t="s">
        <v>52</v>
      </c>
      <c r="B255" s="274"/>
      <c r="C255" s="274"/>
      <c r="D255" s="274"/>
      <c r="E255" s="274"/>
      <c r="F255" s="274"/>
      <c r="G255" s="274"/>
      <c r="H255" s="274"/>
      <c r="I255" s="274"/>
      <c r="J255" s="274"/>
      <c r="K255" s="274"/>
      <c r="L255" s="274"/>
      <c r="M255" s="274"/>
      <c r="N255" s="274"/>
      <c r="O255" s="274"/>
      <c r="P255" s="274"/>
      <c r="Q255" s="221"/>
      <c r="R255" s="221"/>
      <c r="S255" s="221"/>
      <c r="T255" s="222"/>
    </row>
    <row r="256" spans="1:20" ht="24" customHeight="1" x14ac:dyDescent="0.25">
      <c r="A256" s="56" t="s">
        <v>17</v>
      </c>
      <c r="B256" s="22"/>
      <c r="C256" s="23">
        <f>SUM(C251/500*100)</f>
        <v>105.69999999999999</v>
      </c>
      <c r="D256" s="24">
        <f>D251*100/19.25</f>
        <v>104.40935064935067</v>
      </c>
      <c r="E256" s="24">
        <f>E251*100/19.75</f>
        <v>104.50632911392405</v>
      </c>
      <c r="F256" s="24">
        <f>F251*100/83.75</f>
        <v>99.61791044776119</v>
      </c>
      <c r="G256" s="24">
        <f>G251*100/587.5</f>
        <v>98.349940425531926</v>
      </c>
      <c r="H256" s="24">
        <f>SUM(H251*100/0.3)</f>
        <v>125.16666666666666</v>
      </c>
      <c r="I256" s="24">
        <f>SUM(I251*100/15)</f>
        <v>71</v>
      </c>
      <c r="J256" s="24">
        <f>SUM(J251*100/175)</f>
        <v>106.44571428571426</v>
      </c>
      <c r="K256" s="24">
        <f>SUM(K251*100/12)</f>
        <v>2.8849999999999998</v>
      </c>
      <c r="L256" s="24">
        <f>SUM(L251*100/2.5)</f>
        <v>100</v>
      </c>
      <c r="M256" s="24">
        <f>SUM(M251*100/275)</f>
        <v>104.43236363636365</v>
      </c>
      <c r="N256" s="24">
        <f>SUM(N251*100/62.5)</f>
        <v>114.93759999999999</v>
      </c>
      <c r="O256" s="24">
        <f>SUM(O251*100/275)</f>
        <v>97.725454545454539</v>
      </c>
      <c r="P256" s="79">
        <f>SUM(P251*100/3)</f>
        <v>110.78000000000002</v>
      </c>
      <c r="Q256" s="79">
        <f t="shared" ref="Q256:T256" si="100">SUM(Q251*100/3)</f>
        <v>9127.2333333333336</v>
      </c>
      <c r="R256" s="79">
        <f t="shared" si="100"/>
        <v>0.68433333333333335</v>
      </c>
      <c r="S256" s="79">
        <f t="shared" si="100"/>
        <v>0.23300000000000001</v>
      </c>
      <c r="T256" s="24">
        <f t="shared" si="100"/>
        <v>29.477333333333334</v>
      </c>
    </row>
    <row r="257" spans="1:20" ht="24" customHeight="1" x14ac:dyDescent="0.25">
      <c r="A257" s="56" t="s">
        <v>19</v>
      </c>
      <c r="B257" s="22"/>
      <c r="C257" s="86">
        <f>SUM(C252/700*100)</f>
        <v>113.57142857142857</v>
      </c>
      <c r="D257" s="24">
        <f>D252*100/26.95</f>
        <v>108.99554730983301</v>
      </c>
      <c r="E257" s="24">
        <f>E252*100/27.65</f>
        <v>109.65171790235078</v>
      </c>
      <c r="F257" s="24">
        <f>F252*100/117.25</f>
        <v>100.26660980810234</v>
      </c>
      <c r="G257" s="24">
        <f>G252*100/822.5</f>
        <v>100.25531914893617</v>
      </c>
      <c r="H257" s="24">
        <f>SUM(H252*100/0.42)</f>
        <v>98.726190476190467</v>
      </c>
      <c r="I257" s="24">
        <f>SUM(I252*100/21)</f>
        <v>116.07142857142857</v>
      </c>
      <c r="J257" s="24">
        <f>SUM(J252*100/245)</f>
        <v>107.93061224489796</v>
      </c>
      <c r="K257" s="24">
        <f>SUM(K252*100/18)</f>
        <v>2.9938888888888884</v>
      </c>
      <c r="L257" s="24">
        <f>SUM(L252*100/3.5)</f>
        <v>100</v>
      </c>
      <c r="M257" s="24">
        <f>SUM(M252*100/385)</f>
        <v>90.621298701298699</v>
      </c>
      <c r="N257" s="24">
        <f>SUM(N252*100/87.5)</f>
        <v>103.02285714285715</v>
      </c>
      <c r="O257" s="24">
        <f>SUM(O252*100/385)</f>
        <v>103.48142857142857</v>
      </c>
      <c r="P257" s="79">
        <f>SUM(P252*100/4.2)</f>
        <v>109.78571428571428</v>
      </c>
      <c r="Q257" s="79">
        <f t="shared" ref="Q257:T257" si="101">SUM(Q252*100/4.2)</f>
        <v>10572.333333333334</v>
      </c>
      <c r="R257" s="79">
        <f t="shared" si="101"/>
        <v>0.87392857142857139</v>
      </c>
      <c r="S257" s="79">
        <f t="shared" si="101"/>
        <v>0.32583333333333325</v>
      </c>
      <c r="T257" s="24">
        <f t="shared" si="101"/>
        <v>33.485714285714288</v>
      </c>
    </row>
    <row r="258" spans="1:20" ht="24" customHeight="1" x14ac:dyDescent="0.25">
      <c r="A258" s="56" t="s">
        <v>40</v>
      </c>
      <c r="B258" s="22"/>
      <c r="C258" s="86">
        <f>SUM(C253/300*100)</f>
        <v>119.66666666666667</v>
      </c>
      <c r="D258" s="24">
        <f>D253*100/11.55</f>
        <v>100.30909090909091</v>
      </c>
      <c r="E258" s="24">
        <f>E253*100/11.85</f>
        <v>96.312236286919827</v>
      </c>
      <c r="F258" s="24">
        <f>F253*100/50.25</f>
        <v>125.39303482587067</v>
      </c>
      <c r="G258" s="24">
        <f>G253*100/352.5</f>
        <v>114.67739007092199</v>
      </c>
      <c r="H258" s="24">
        <f>SUM(H253*100/0.18)</f>
        <v>98.222222222222229</v>
      </c>
      <c r="I258" s="24">
        <f>SUM(I253*100/9)</f>
        <v>137.39999999999998</v>
      </c>
      <c r="J258" s="24">
        <f>SUM(J253*100/105)</f>
        <v>97.946666666666644</v>
      </c>
      <c r="K258" s="24">
        <f>SUM(K253*100/4)</f>
        <v>5.4787500000000007</v>
      </c>
      <c r="L258" s="24">
        <f>SUM(L253*100/1.5)</f>
        <v>100</v>
      </c>
      <c r="M258" s="24">
        <f>SUM(M253*100/165)</f>
        <v>140.10606060606062</v>
      </c>
      <c r="N258" s="24">
        <f>SUM(N253*100/37.5)</f>
        <v>95.306666666666672</v>
      </c>
      <c r="O258" s="24">
        <f>SUM(O253*100/165)</f>
        <v>122.51515151515154</v>
      </c>
      <c r="P258" s="79">
        <f>SUM(P253*100/1.8)</f>
        <v>103.97777777777779</v>
      </c>
      <c r="Q258" s="79">
        <f>SUM(Q253*100/165)</f>
        <v>92.975757575757584</v>
      </c>
      <c r="R258" s="79">
        <f>SUM(R253*100/0.025)</f>
        <v>87.2</v>
      </c>
      <c r="S258" s="79">
        <f>SUM(S253*100/0.0125)</f>
        <v>20.399999999999995</v>
      </c>
      <c r="T258" s="24">
        <f>SUM(T253*100/1)</f>
        <v>58.52</v>
      </c>
    </row>
    <row r="259" spans="1:20" ht="24" customHeight="1" x14ac:dyDescent="0.25">
      <c r="A259" s="57" t="s">
        <v>55</v>
      </c>
      <c r="B259" s="26"/>
      <c r="C259" s="27">
        <v>1500</v>
      </c>
      <c r="D259" s="27">
        <v>58</v>
      </c>
      <c r="E259" s="27">
        <v>59</v>
      </c>
      <c r="F259" s="27">
        <v>251</v>
      </c>
      <c r="G259" s="27">
        <v>1763</v>
      </c>
      <c r="H259" s="24">
        <v>0.9</v>
      </c>
      <c r="I259" s="27">
        <v>45</v>
      </c>
      <c r="J259" s="27">
        <v>525</v>
      </c>
      <c r="K259" s="27">
        <v>1.05</v>
      </c>
      <c r="L259" s="27">
        <v>7.5</v>
      </c>
      <c r="M259" s="27">
        <v>825</v>
      </c>
      <c r="N259" s="27">
        <v>187.5</v>
      </c>
      <c r="O259" s="27">
        <v>825</v>
      </c>
      <c r="P259" s="80">
        <v>9</v>
      </c>
      <c r="Q259" s="39">
        <v>825</v>
      </c>
      <c r="R259" s="83">
        <v>7.4999999999999997E-2</v>
      </c>
      <c r="S259" s="84">
        <v>2.1999999999999999E-2</v>
      </c>
      <c r="T259" s="39">
        <v>2.25</v>
      </c>
    </row>
    <row r="260" spans="1:20" ht="24" customHeight="1" x14ac:dyDescent="0.25">
      <c r="A260" s="57" t="s">
        <v>54</v>
      </c>
      <c r="B260" s="26"/>
      <c r="C260" s="27">
        <f>SUM(C254/C259*100)</f>
        <v>112.16666666666666</v>
      </c>
      <c r="D260" s="27">
        <f>D254*100/D259</f>
        <v>105.27379310344828</v>
      </c>
      <c r="E260" s="27">
        <f>E254*100/E259</f>
        <v>105.71474576271186</v>
      </c>
      <c r="F260" s="27">
        <f>F254*100/F259</f>
        <v>105.18031872509961</v>
      </c>
      <c r="G260" s="27">
        <f>G254*100/1710</f>
        <v>105.65167836257309</v>
      </c>
      <c r="H260" s="27">
        <f>SUM(H254*100/0.9)</f>
        <v>107.4388888888889</v>
      </c>
      <c r="I260" s="27">
        <f>SUM(I254*100/45)</f>
        <v>105.31333333333335</v>
      </c>
      <c r="J260" s="27">
        <f>SUM(J254*100/525)</f>
        <v>105.43885714285713</v>
      </c>
      <c r="K260" s="27">
        <f>SUM(K254*100/1.05)</f>
        <v>105.16666666666666</v>
      </c>
      <c r="L260" s="27">
        <f>SUM(L254*100/7.5)</f>
        <v>106.152</v>
      </c>
      <c r="M260" s="27">
        <f>SUM(M254*100/825)</f>
        <v>105.12193939393939</v>
      </c>
      <c r="N260" s="27">
        <f>SUM(N254*100/187.5)</f>
        <v>105.45119999999999</v>
      </c>
      <c r="O260" s="27">
        <f>SUM(O254*100/825)</f>
        <v>105.36951515151516</v>
      </c>
      <c r="P260" s="80">
        <f>SUM(P254*100/8.85)</f>
        <v>105.40790960451977</v>
      </c>
      <c r="Q260" s="27">
        <f>Q254*100/Q259</f>
        <v>105.60787878787879</v>
      </c>
      <c r="R260" s="27">
        <f>R254*100/R259</f>
        <v>105.38</v>
      </c>
      <c r="S260" s="27">
        <f>S254*100/S259</f>
        <v>105.56818181818184</v>
      </c>
      <c r="T260" s="27">
        <f>T254*100/2.7</f>
        <v>106.51555555555554</v>
      </c>
    </row>
    <row r="261" spans="1:20" s="31" customFormat="1" ht="24" customHeight="1" x14ac:dyDescent="0.25">
      <c r="A261" s="60"/>
      <c r="B261" s="33"/>
    </row>
    <row r="262" spans="1:20" s="31" customFormat="1" ht="24" customHeight="1" x14ac:dyDescent="0.25">
      <c r="A262" s="60"/>
      <c r="B262" s="33"/>
    </row>
  </sheetData>
  <mergeCells count="103">
    <mergeCell ref="A105:T105"/>
    <mergeCell ref="A255:T255"/>
    <mergeCell ref="A91:T91"/>
    <mergeCell ref="A173:T173"/>
    <mergeCell ref="A179:T179"/>
    <mergeCell ref="A180:T180"/>
    <mergeCell ref="A187:T187"/>
    <mergeCell ref="A196:T196"/>
    <mergeCell ref="A226:T226"/>
    <mergeCell ref="A232:T232"/>
    <mergeCell ref="A202:T202"/>
    <mergeCell ref="A203:T203"/>
    <mergeCell ref="A210:T210"/>
    <mergeCell ref="A219:T219"/>
    <mergeCell ref="A225:T225"/>
    <mergeCell ref="A96:B96"/>
    <mergeCell ref="A98:T98"/>
    <mergeCell ref="A224:B224"/>
    <mergeCell ref="A195:B195"/>
    <mergeCell ref="A218:B218"/>
    <mergeCell ref="A223:B223"/>
    <mergeCell ref="A201:B201"/>
    <mergeCell ref="A75:T75"/>
    <mergeCell ref="A97:T97"/>
    <mergeCell ref="A209:B209"/>
    <mergeCell ref="A186:B186"/>
    <mergeCell ref="A178:B178"/>
    <mergeCell ref="O120:T120"/>
    <mergeCell ref="A142:B142"/>
    <mergeCell ref="A177:B177"/>
    <mergeCell ref="A200:B200"/>
    <mergeCell ref="A113:B113"/>
    <mergeCell ref="A150:B150"/>
    <mergeCell ref="A172:B172"/>
    <mergeCell ref="A134:T134"/>
    <mergeCell ref="H122:L122"/>
    <mergeCell ref="A128:T128"/>
    <mergeCell ref="A135:T135"/>
    <mergeCell ref="G122:G123"/>
    <mergeCell ref="A90:B90"/>
    <mergeCell ref="A81:B81"/>
    <mergeCell ref="A82:T82"/>
    <mergeCell ref="A95:B95"/>
    <mergeCell ref="A118:B118"/>
    <mergeCell ref="A104:B104"/>
    <mergeCell ref="A59:T59"/>
    <mergeCell ref="A46:T46"/>
    <mergeCell ref="A58:B58"/>
    <mergeCell ref="A53:T53"/>
    <mergeCell ref="A67:B67"/>
    <mergeCell ref="A36:B36"/>
    <mergeCell ref="A50:B50"/>
    <mergeCell ref="A51:B51"/>
    <mergeCell ref="A52:T52"/>
    <mergeCell ref="A5:T5"/>
    <mergeCell ref="A6:T6"/>
    <mergeCell ref="A73:B73"/>
    <mergeCell ref="A74:T74"/>
    <mergeCell ref="M3:T3"/>
    <mergeCell ref="A23:T23"/>
    <mergeCell ref="H2:P2"/>
    <mergeCell ref="A3:A4"/>
    <mergeCell ref="B3:B4"/>
    <mergeCell ref="C3:C4"/>
    <mergeCell ref="G3:G4"/>
    <mergeCell ref="D3:F3"/>
    <mergeCell ref="H3:L3"/>
    <mergeCell ref="A13:T13"/>
    <mergeCell ref="A12:B12"/>
    <mergeCell ref="A72:B72"/>
    <mergeCell ref="A27:B27"/>
    <mergeCell ref="A28:B28"/>
    <mergeCell ref="A29:T29"/>
    <mergeCell ref="A22:B22"/>
    <mergeCell ref="A45:B45"/>
    <mergeCell ref="A30:T30"/>
    <mergeCell ref="A37:T37"/>
    <mergeCell ref="A68:T68"/>
    <mergeCell ref="D249:F249"/>
    <mergeCell ref="G249:G250"/>
    <mergeCell ref="A247:B247"/>
    <mergeCell ref="A231:B231"/>
    <mergeCell ref="A246:B246"/>
    <mergeCell ref="C249:C250"/>
    <mergeCell ref="A241:T241"/>
    <mergeCell ref="A248:T248"/>
    <mergeCell ref="M249:T249"/>
    <mergeCell ref="H249:L249"/>
    <mergeCell ref="A240:B240"/>
    <mergeCell ref="A121:T121"/>
    <mergeCell ref="M122:T122"/>
    <mergeCell ref="A119:B119"/>
    <mergeCell ref="C122:C123"/>
    <mergeCell ref="A114:T114"/>
    <mergeCell ref="D122:F122"/>
    <mergeCell ref="A157:T157"/>
    <mergeCell ref="A158:T158"/>
    <mergeCell ref="A165:T165"/>
    <mergeCell ref="A151:T151"/>
    <mergeCell ref="A156:B156"/>
    <mergeCell ref="A164:B164"/>
    <mergeCell ref="A155:B155"/>
    <mergeCell ref="A143:P143"/>
  </mergeCells>
  <phoneticPr fontId="1" type="noConversion"/>
  <printOptions verticalCentered="1"/>
  <pageMargins left="0.31496062992125984" right="0" top="0" bottom="0" header="0.31496062992125984" footer="0.11811023622047245"/>
  <pageSetup paperSize="9" scale="67" fitToHeight="0" orientation="landscape" r:id="rId1"/>
  <headerFooter>
    <oddHeader>&amp;CПримерный 10 дневный цикличный рацион питания детей возраста  от 7 до 11 лет для летних лагерей с дневным пребыванием в г. Северодвинске</oddHeader>
  </headerFooter>
  <rowBreaks count="11" manualBreakCount="11">
    <brk id="28" max="16383" man="1"/>
    <brk id="51" max="16383" man="1"/>
    <brk id="73" max="16383" man="1"/>
    <brk id="96" max="16383" man="1"/>
    <brk id="120" max="16383" man="1"/>
    <brk id="133" max="16383" man="1"/>
    <brk id="156" max="16383" man="1"/>
    <brk id="178" max="16383" man="1"/>
    <brk id="201" max="16383" man="1"/>
    <brk id="224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R261"/>
  <sheetViews>
    <sheetView view="pageBreakPreview" zoomScale="70" zoomScaleNormal="100" zoomScaleSheetLayoutView="70" workbookViewId="0">
      <pane xSplit="20" ySplit="4" topLeftCell="U41" activePane="bottomRight" state="frozen"/>
      <selection pane="topRight" activeCell="U1" sqref="U1"/>
      <selection pane="bottomLeft" activeCell="A5" sqref="A5"/>
      <selection pane="bottomRight" activeCell="D61" sqref="D61:T61"/>
    </sheetView>
  </sheetViews>
  <sheetFormatPr defaultColWidth="8.85546875" defaultRowHeight="15.75" x14ac:dyDescent="0.25"/>
  <cols>
    <col min="1" max="1" width="21.42578125" style="46" customWidth="1"/>
    <col min="2" max="2" width="41" style="28" customWidth="1"/>
    <col min="3" max="3" width="11.85546875" style="29" customWidth="1"/>
    <col min="4" max="4" width="7.85546875" style="29" customWidth="1"/>
    <col min="5" max="5" width="7.7109375" style="29" customWidth="1"/>
    <col min="6" max="6" width="10.85546875" style="29" customWidth="1"/>
    <col min="7" max="7" width="9.7109375" style="29" customWidth="1"/>
    <col min="8" max="8" width="9" style="29" customWidth="1"/>
    <col min="9" max="9" width="8.28515625" style="29" customWidth="1"/>
    <col min="10" max="10" width="8" style="29" customWidth="1"/>
    <col min="11" max="11" width="8.28515625" style="29" customWidth="1"/>
    <col min="12" max="12" width="9.28515625" style="29" customWidth="1"/>
    <col min="13" max="13" width="9.5703125" style="29" customWidth="1"/>
    <col min="14" max="14" width="9.42578125" style="29" customWidth="1"/>
    <col min="15" max="15" width="9.7109375" style="29" customWidth="1"/>
    <col min="16" max="16" width="11.42578125" style="29" customWidth="1"/>
    <col min="17" max="17" width="8.5703125" style="29" customWidth="1"/>
    <col min="18" max="18" width="8.140625" style="29" customWidth="1"/>
    <col min="19" max="19" width="8.85546875" style="29"/>
    <col min="20" max="20" width="10" style="29" customWidth="1"/>
    <col min="21" max="16384" width="8.85546875" style="29"/>
  </cols>
  <sheetData>
    <row r="1" spans="1:20" ht="13.5" customHeight="1" x14ac:dyDescent="0.25"/>
    <row r="2" spans="1:20" ht="16.899999999999999" customHeight="1" x14ac:dyDescent="0.25">
      <c r="B2" s="45"/>
      <c r="C2" s="20"/>
      <c r="D2" s="20"/>
      <c r="E2" s="20"/>
      <c r="F2" s="20"/>
      <c r="G2" s="20"/>
      <c r="H2" s="277"/>
      <c r="I2" s="277"/>
      <c r="J2" s="277"/>
      <c r="K2" s="277"/>
      <c r="L2" s="277"/>
      <c r="M2" s="277"/>
      <c r="N2" s="277"/>
      <c r="O2" s="277"/>
      <c r="P2" s="277"/>
    </row>
    <row r="3" spans="1:20" ht="24" customHeight="1" x14ac:dyDescent="0.25">
      <c r="A3" s="255" t="s">
        <v>0</v>
      </c>
      <c r="B3" s="257" t="s">
        <v>1</v>
      </c>
      <c r="C3" s="259" t="s">
        <v>2</v>
      </c>
      <c r="D3" s="260" t="s">
        <v>6</v>
      </c>
      <c r="E3" s="260"/>
      <c r="F3" s="260"/>
      <c r="G3" s="259" t="s">
        <v>76</v>
      </c>
      <c r="H3" s="245" t="s">
        <v>14</v>
      </c>
      <c r="I3" s="245"/>
      <c r="J3" s="245"/>
      <c r="K3" s="245"/>
      <c r="L3" s="245"/>
      <c r="M3" s="245" t="s">
        <v>15</v>
      </c>
      <c r="N3" s="245"/>
      <c r="O3" s="245"/>
      <c r="P3" s="245"/>
      <c r="Q3" s="245"/>
      <c r="R3" s="245"/>
      <c r="S3" s="245"/>
      <c r="T3" s="245"/>
    </row>
    <row r="4" spans="1:20" ht="44.25" customHeight="1" x14ac:dyDescent="0.25">
      <c r="A4" s="256"/>
      <c r="B4" s="258"/>
      <c r="C4" s="260"/>
      <c r="D4" s="126" t="s">
        <v>3</v>
      </c>
      <c r="E4" s="126" t="s">
        <v>4</v>
      </c>
      <c r="F4" s="126" t="s">
        <v>5</v>
      </c>
      <c r="G4" s="260"/>
      <c r="H4" s="65" t="s">
        <v>7</v>
      </c>
      <c r="I4" s="65" t="s">
        <v>8</v>
      </c>
      <c r="J4" s="65" t="s">
        <v>9</v>
      </c>
      <c r="K4" s="65" t="s">
        <v>146</v>
      </c>
      <c r="L4" s="65" t="s">
        <v>151</v>
      </c>
      <c r="M4" s="65" t="s">
        <v>10</v>
      </c>
      <c r="N4" s="65" t="s">
        <v>11</v>
      </c>
      <c r="O4" s="65" t="s">
        <v>12</v>
      </c>
      <c r="P4" s="65" t="s">
        <v>13</v>
      </c>
      <c r="Q4" s="120" t="s">
        <v>147</v>
      </c>
      <c r="R4" s="120" t="s">
        <v>148</v>
      </c>
      <c r="S4" s="120" t="s">
        <v>149</v>
      </c>
      <c r="T4" s="120" t="s">
        <v>150</v>
      </c>
    </row>
    <row r="5" spans="1:20" ht="24" customHeight="1" x14ac:dyDescent="0.25">
      <c r="A5" s="279" t="s">
        <v>16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</row>
    <row r="6" spans="1:20" ht="24" customHeight="1" x14ac:dyDescent="0.25">
      <c r="A6" s="244" t="s">
        <v>17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</row>
    <row r="7" spans="1:20" ht="36" customHeight="1" x14ac:dyDescent="0.25">
      <c r="A7" s="123" t="s">
        <v>43</v>
      </c>
      <c r="B7" s="124" t="s">
        <v>143</v>
      </c>
      <c r="C7" s="127" t="s">
        <v>91</v>
      </c>
      <c r="D7" s="127">
        <v>9.5</v>
      </c>
      <c r="E7" s="127">
        <v>12.3</v>
      </c>
      <c r="F7" s="127">
        <v>56.16</v>
      </c>
      <c r="G7" s="127">
        <f>D7*3.8+E7*9.3+F7*4.1</f>
        <v>380.74599999999998</v>
      </c>
      <c r="H7" s="127">
        <v>0.28000000000000003</v>
      </c>
      <c r="I7" s="127">
        <v>1.6</v>
      </c>
      <c r="J7" s="127">
        <v>204.8</v>
      </c>
      <c r="K7" s="127">
        <v>0.3</v>
      </c>
      <c r="L7" s="127">
        <v>2.1</v>
      </c>
      <c r="M7" s="127">
        <v>189.12</v>
      </c>
      <c r="N7" s="127">
        <v>55.02</v>
      </c>
      <c r="O7" s="127">
        <v>227.54</v>
      </c>
      <c r="P7" s="127">
        <v>1.42</v>
      </c>
      <c r="Q7" s="120">
        <v>146</v>
      </c>
      <c r="R7" s="120">
        <v>2E-3</v>
      </c>
      <c r="S7" s="120">
        <v>5.4999999999999997E-3</v>
      </c>
      <c r="T7" s="120">
        <v>1.2</v>
      </c>
    </row>
    <row r="8" spans="1:20" ht="32.450000000000003" customHeight="1" x14ac:dyDescent="0.25">
      <c r="A8" s="122" t="s">
        <v>100</v>
      </c>
      <c r="B8" s="124" t="s">
        <v>80</v>
      </c>
      <c r="C8" s="127" t="s">
        <v>81</v>
      </c>
      <c r="D8" s="127">
        <v>9.86</v>
      </c>
      <c r="E8" s="127">
        <v>11.74</v>
      </c>
      <c r="F8" s="127">
        <v>17.46</v>
      </c>
      <c r="G8" s="127">
        <f>D8*4+E8*9+F8*4</f>
        <v>214.94</v>
      </c>
      <c r="H8" s="127">
        <v>0.05</v>
      </c>
      <c r="I8" s="127">
        <v>1.2</v>
      </c>
      <c r="J8" s="127">
        <v>24</v>
      </c>
      <c r="K8" s="127">
        <v>0.1</v>
      </c>
      <c r="L8" s="127">
        <v>0.2</v>
      </c>
      <c r="M8" s="127">
        <v>35.869999999999997</v>
      </c>
      <c r="N8" s="127">
        <v>21.93</v>
      </c>
      <c r="O8" s="127">
        <v>51.66</v>
      </c>
      <c r="P8" s="127">
        <v>0.69</v>
      </c>
      <c r="Q8" s="120">
        <v>200</v>
      </c>
      <c r="R8" s="120">
        <v>0</v>
      </c>
      <c r="S8" s="120">
        <v>1E-3</v>
      </c>
      <c r="T8" s="120">
        <v>0.03</v>
      </c>
    </row>
    <row r="9" spans="1:20" ht="24" customHeight="1" x14ac:dyDescent="0.25">
      <c r="A9" s="123" t="s">
        <v>75</v>
      </c>
      <c r="B9" s="148" t="s">
        <v>160</v>
      </c>
      <c r="C9" s="127" t="s">
        <v>56</v>
      </c>
      <c r="D9" s="127">
        <v>0</v>
      </c>
      <c r="E9" s="127">
        <v>0</v>
      </c>
      <c r="F9" s="127">
        <v>9.98</v>
      </c>
      <c r="G9" s="127">
        <f t="shared" ref="G9:G11" si="0">(9*E9)+4*(F9+D9)</f>
        <v>39.92</v>
      </c>
      <c r="H9" s="127">
        <v>0</v>
      </c>
      <c r="I9" s="127">
        <v>0.1</v>
      </c>
      <c r="J9" s="127">
        <v>0</v>
      </c>
      <c r="K9" s="127">
        <v>0</v>
      </c>
      <c r="L9" s="127">
        <v>0</v>
      </c>
      <c r="M9" s="127">
        <v>5.25</v>
      </c>
      <c r="N9" s="127">
        <v>4.4000000000000004</v>
      </c>
      <c r="O9" s="127">
        <v>8.24</v>
      </c>
      <c r="P9" s="127">
        <v>0.86</v>
      </c>
      <c r="Q9" s="120">
        <v>24</v>
      </c>
      <c r="R9" s="120">
        <v>0</v>
      </c>
      <c r="S9" s="120">
        <v>0</v>
      </c>
      <c r="T9" s="120">
        <v>0.2</v>
      </c>
    </row>
    <row r="10" spans="1:20" ht="26.25" customHeight="1" x14ac:dyDescent="0.25">
      <c r="A10" s="122" t="s">
        <v>92</v>
      </c>
      <c r="B10" s="124" t="s">
        <v>25</v>
      </c>
      <c r="C10" s="127">
        <v>50</v>
      </c>
      <c r="D10" s="127">
        <f>2*1.52</f>
        <v>3.04</v>
      </c>
      <c r="E10" s="127">
        <f>2*0.16</f>
        <v>0.32</v>
      </c>
      <c r="F10" s="127">
        <f>2*10.03</f>
        <v>20.059999999999999</v>
      </c>
      <c r="G10" s="11">
        <f t="shared" si="0"/>
        <v>95.279999999999987</v>
      </c>
      <c r="H10" s="127">
        <v>5.1999999999999998E-2</v>
      </c>
      <c r="I10" s="127">
        <v>0.4</v>
      </c>
      <c r="J10" s="127">
        <v>0</v>
      </c>
      <c r="K10" s="127">
        <v>0</v>
      </c>
      <c r="L10" s="127">
        <v>0</v>
      </c>
      <c r="M10" s="127">
        <v>5.8</v>
      </c>
      <c r="N10" s="127">
        <v>9.6</v>
      </c>
      <c r="O10" s="127">
        <v>36.799999999999997</v>
      </c>
      <c r="P10" s="127">
        <v>0.44</v>
      </c>
      <c r="Q10" s="120">
        <v>18.2</v>
      </c>
      <c r="R10" s="120">
        <v>6.0000000000000001E-3</v>
      </c>
      <c r="S10" s="120">
        <v>1E-3</v>
      </c>
      <c r="T10" s="120">
        <v>0</v>
      </c>
    </row>
    <row r="11" spans="1:20" ht="24" customHeight="1" x14ac:dyDescent="0.25">
      <c r="A11" s="122"/>
      <c r="B11" s="124" t="s">
        <v>140</v>
      </c>
      <c r="C11" s="127">
        <v>40</v>
      </c>
      <c r="D11" s="127">
        <v>2.8</v>
      </c>
      <c r="E11" s="127">
        <v>0.7</v>
      </c>
      <c r="F11" s="127">
        <v>11.86</v>
      </c>
      <c r="G11" s="2">
        <f t="shared" si="0"/>
        <v>64.94</v>
      </c>
      <c r="H11" s="128">
        <v>0.03</v>
      </c>
      <c r="I11" s="128">
        <v>10</v>
      </c>
      <c r="J11" s="128">
        <v>30</v>
      </c>
      <c r="K11" s="128">
        <v>0.04</v>
      </c>
      <c r="L11" s="128">
        <v>0</v>
      </c>
      <c r="M11" s="128">
        <v>9.5</v>
      </c>
      <c r="N11" s="128">
        <v>14</v>
      </c>
      <c r="O11" s="128">
        <v>9.5</v>
      </c>
      <c r="P11" s="128">
        <v>0.2</v>
      </c>
      <c r="Q11" s="120">
        <v>0.4</v>
      </c>
      <c r="R11" s="120">
        <v>7.0000000000000001E-3</v>
      </c>
      <c r="S11" s="120">
        <v>0</v>
      </c>
      <c r="T11" s="120">
        <v>0.5</v>
      </c>
    </row>
    <row r="12" spans="1:20" ht="24" customHeight="1" x14ac:dyDescent="0.25">
      <c r="A12" s="225" t="s">
        <v>18</v>
      </c>
      <c r="B12" s="240"/>
      <c r="C12" s="119">
        <f>SUM(C10:C11)+220+10+50+210</f>
        <v>580</v>
      </c>
      <c r="D12" s="9">
        <f>SUM(D7:D11)</f>
        <v>25.2</v>
      </c>
      <c r="E12" s="9">
        <f t="shared" ref="E12:T12" si="1">SUM(E7:E11)</f>
        <v>25.06</v>
      </c>
      <c r="F12" s="9">
        <f t="shared" si="1"/>
        <v>115.52000000000001</v>
      </c>
      <c r="G12" s="9">
        <f t="shared" si="1"/>
        <v>795.82599999999979</v>
      </c>
      <c r="H12" s="5">
        <f t="shared" si="1"/>
        <v>0.41200000000000003</v>
      </c>
      <c r="I12" s="5">
        <f t="shared" si="1"/>
        <v>13.3</v>
      </c>
      <c r="J12" s="5">
        <f t="shared" si="1"/>
        <v>258.8</v>
      </c>
      <c r="K12" s="5">
        <f t="shared" si="1"/>
        <v>0.44</v>
      </c>
      <c r="L12" s="5">
        <f t="shared" si="1"/>
        <v>2.3000000000000003</v>
      </c>
      <c r="M12" s="5">
        <f>SUM(M7:M11)</f>
        <v>245.54000000000002</v>
      </c>
      <c r="N12" s="5">
        <f t="shared" si="1"/>
        <v>104.95</v>
      </c>
      <c r="O12" s="5">
        <f t="shared" si="1"/>
        <v>333.74</v>
      </c>
      <c r="P12" s="5">
        <f t="shared" si="1"/>
        <v>3.61</v>
      </c>
      <c r="Q12" s="5">
        <f t="shared" si="1"/>
        <v>388.59999999999997</v>
      </c>
      <c r="R12" s="5">
        <f t="shared" si="1"/>
        <v>1.4999999999999999E-2</v>
      </c>
      <c r="S12" s="5">
        <f t="shared" si="1"/>
        <v>7.4999999999999997E-3</v>
      </c>
      <c r="T12" s="5">
        <f t="shared" si="1"/>
        <v>1.93</v>
      </c>
    </row>
    <row r="13" spans="1:20" ht="24" customHeight="1" x14ac:dyDescent="0.25">
      <c r="A13" s="244" t="s">
        <v>19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</row>
    <row r="14" spans="1:20" ht="27" customHeight="1" x14ac:dyDescent="0.25">
      <c r="A14" s="122" t="s">
        <v>102</v>
      </c>
      <c r="B14" s="30" t="s">
        <v>63</v>
      </c>
      <c r="C14" s="128">
        <v>100</v>
      </c>
      <c r="D14" s="127">
        <v>1.23</v>
      </c>
      <c r="E14" s="127">
        <v>0.4</v>
      </c>
      <c r="F14" s="127">
        <v>3.3</v>
      </c>
      <c r="G14" s="127">
        <f>(9*E14)+4*(F14+D14)</f>
        <v>21.72</v>
      </c>
      <c r="H14" s="127">
        <v>0.01</v>
      </c>
      <c r="I14" s="127">
        <v>3.75</v>
      </c>
      <c r="J14" s="127">
        <v>1.1499999999999999</v>
      </c>
      <c r="K14" s="127">
        <v>1.2E-2</v>
      </c>
      <c r="L14" s="127">
        <v>0</v>
      </c>
      <c r="M14" s="127">
        <v>11.1</v>
      </c>
      <c r="N14" s="127">
        <v>3</v>
      </c>
      <c r="O14" s="127">
        <v>3.9</v>
      </c>
      <c r="P14" s="127">
        <v>0.15</v>
      </c>
      <c r="Q14" s="120">
        <v>85.6</v>
      </c>
      <c r="R14" s="120">
        <v>1E-3</v>
      </c>
      <c r="S14" s="120">
        <v>0</v>
      </c>
      <c r="T14" s="120">
        <v>0</v>
      </c>
    </row>
    <row r="15" spans="1:20" ht="25.5" customHeight="1" x14ac:dyDescent="0.25">
      <c r="A15" s="123" t="s">
        <v>103</v>
      </c>
      <c r="B15" s="124" t="s">
        <v>35</v>
      </c>
      <c r="C15" s="127" t="s">
        <v>31</v>
      </c>
      <c r="D15" s="118">
        <v>7.5</v>
      </c>
      <c r="E15" s="118">
        <v>12.34</v>
      </c>
      <c r="F15" s="118">
        <v>9.82</v>
      </c>
      <c r="G15" s="127">
        <f>(9*E15)+4*(F15+D15)</f>
        <v>180.34</v>
      </c>
      <c r="H15" s="118">
        <v>0.12</v>
      </c>
      <c r="I15" s="118">
        <v>31.6</v>
      </c>
      <c r="J15" s="118">
        <v>98</v>
      </c>
      <c r="K15" s="118">
        <v>0.05</v>
      </c>
      <c r="L15" s="118">
        <v>1.4</v>
      </c>
      <c r="M15" s="118">
        <v>112.44</v>
      </c>
      <c r="N15" s="118">
        <v>32.4</v>
      </c>
      <c r="O15" s="118">
        <v>82</v>
      </c>
      <c r="P15" s="118">
        <v>1.363</v>
      </c>
      <c r="Q15" s="120">
        <v>90</v>
      </c>
      <c r="R15" s="120">
        <v>2E-3</v>
      </c>
      <c r="S15" s="120">
        <v>5.0000000000000001E-3</v>
      </c>
      <c r="T15" s="120">
        <v>0.05</v>
      </c>
    </row>
    <row r="16" spans="1:20" ht="19.5" customHeight="1" x14ac:dyDescent="0.25">
      <c r="A16" s="47" t="s">
        <v>105</v>
      </c>
      <c r="B16" s="15" t="s">
        <v>246</v>
      </c>
      <c r="C16" s="120">
        <v>140</v>
      </c>
      <c r="D16" s="6">
        <v>9.3800000000000008</v>
      </c>
      <c r="E16" s="6">
        <v>12.98</v>
      </c>
      <c r="F16" s="6">
        <v>15.4</v>
      </c>
      <c r="G16" s="6">
        <f>F16*4+E16*9+D16*4</f>
        <v>215.94000000000003</v>
      </c>
      <c r="H16" s="127">
        <v>0.1</v>
      </c>
      <c r="I16" s="127">
        <v>1.9450000000000001</v>
      </c>
      <c r="J16" s="127">
        <v>0.25</v>
      </c>
      <c r="K16" s="127">
        <v>0.18</v>
      </c>
      <c r="L16" s="127">
        <v>2.1</v>
      </c>
      <c r="M16" s="127">
        <v>87.2</v>
      </c>
      <c r="N16" s="127">
        <v>21.35</v>
      </c>
      <c r="O16" s="7">
        <v>158.03</v>
      </c>
      <c r="P16" s="127">
        <v>2.637</v>
      </c>
      <c r="Q16" s="120">
        <v>91.3</v>
      </c>
      <c r="R16" s="120">
        <v>8.0000000000000002E-3</v>
      </c>
      <c r="S16" s="120">
        <v>4.0000000000000001E-3</v>
      </c>
      <c r="T16" s="120">
        <v>0.6</v>
      </c>
    </row>
    <row r="17" spans="1:20" ht="24" customHeight="1" x14ac:dyDescent="0.25">
      <c r="A17" s="123" t="s">
        <v>106</v>
      </c>
      <c r="B17" s="125" t="s">
        <v>138</v>
      </c>
      <c r="C17" s="127">
        <v>180</v>
      </c>
      <c r="D17" s="127">
        <v>8.3000000000000007</v>
      </c>
      <c r="E17" s="127">
        <v>9.33</v>
      </c>
      <c r="F17" s="127">
        <v>39.08</v>
      </c>
      <c r="G17" s="2">
        <f>SUM(E17*9.3)+(D17+F17)*4.1</f>
        <v>281.02699999999993</v>
      </c>
      <c r="H17" s="120">
        <v>0.18</v>
      </c>
      <c r="I17" s="120">
        <v>0</v>
      </c>
      <c r="J17" s="120">
        <v>145.5</v>
      </c>
      <c r="K17" s="120">
        <v>0.30499999999999999</v>
      </c>
      <c r="L17" s="120">
        <v>0</v>
      </c>
      <c r="M17" s="120">
        <v>137</v>
      </c>
      <c r="N17" s="120">
        <v>12.8</v>
      </c>
      <c r="O17" s="120">
        <v>12.8</v>
      </c>
      <c r="P17" s="127">
        <v>3.3</v>
      </c>
      <c r="Q17" s="120">
        <v>0</v>
      </c>
      <c r="R17" s="120">
        <v>0</v>
      </c>
      <c r="S17" s="120">
        <v>1.7999999999999999E-2</v>
      </c>
      <c r="T17" s="120">
        <v>0</v>
      </c>
    </row>
    <row r="18" spans="1:20" ht="20.25" customHeight="1" x14ac:dyDescent="0.25">
      <c r="A18" s="48"/>
      <c r="B18" s="124" t="s">
        <v>66</v>
      </c>
      <c r="C18" s="127">
        <v>200</v>
      </c>
      <c r="D18" s="127">
        <v>0</v>
      </c>
      <c r="E18" s="127">
        <v>0</v>
      </c>
      <c r="F18" s="127">
        <v>22</v>
      </c>
      <c r="G18" s="118">
        <f>F18*4+E18*9+D18*4</f>
        <v>88</v>
      </c>
      <c r="H18" s="127">
        <v>7.0000000000000007E-2</v>
      </c>
      <c r="I18" s="127">
        <v>0.01</v>
      </c>
      <c r="J18" s="127">
        <v>100</v>
      </c>
      <c r="K18" s="127">
        <v>0.09</v>
      </c>
      <c r="L18" s="127">
        <v>0</v>
      </c>
      <c r="M18" s="127">
        <v>21.48</v>
      </c>
      <c r="N18" s="127">
        <v>8.4600000000000009</v>
      </c>
      <c r="O18" s="127">
        <v>49.79</v>
      </c>
      <c r="P18" s="127">
        <v>0.66</v>
      </c>
      <c r="Q18" s="120">
        <v>24</v>
      </c>
      <c r="R18" s="120">
        <v>0</v>
      </c>
      <c r="S18" s="120">
        <v>0</v>
      </c>
      <c r="T18" s="120">
        <v>4.0000000000000001E-3</v>
      </c>
    </row>
    <row r="19" spans="1:20" ht="23.25" customHeight="1" x14ac:dyDescent="0.25">
      <c r="A19" s="48" t="s">
        <v>93</v>
      </c>
      <c r="B19" s="124" t="s">
        <v>25</v>
      </c>
      <c r="C19" s="127">
        <v>50</v>
      </c>
      <c r="D19" s="127">
        <f>3*1.52</f>
        <v>4.5600000000000005</v>
      </c>
      <c r="E19" s="127">
        <f>3*0.16</f>
        <v>0.48</v>
      </c>
      <c r="F19" s="127">
        <f>3*10.03</f>
        <v>30.089999999999996</v>
      </c>
      <c r="G19" s="11">
        <f t="shared" ref="G19" si="2">(9*E19)+4*(F19+D19)</f>
        <v>142.91999999999999</v>
      </c>
      <c r="H19" s="127">
        <v>5.1999999999999998E-2</v>
      </c>
      <c r="I19" s="127">
        <v>0.4</v>
      </c>
      <c r="J19" s="127">
        <v>0</v>
      </c>
      <c r="K19" s="127">
        <v>0</v>
      </c>
      <c r="L19" s="127">
        <v>0</v>
      </c>
      <c r="M19" s="127">
        <v>22.5</v>
      </c>
      <c r="N19" s="127">
        <v>9.6</v>
      </c>
      <c r="O19" s="127">
        <v>36.799999999999997</v>
      </c>
      <c r="P19" s="127">
        <v>0.44</v>
      </c>
      <c r="Q19" s="120">
        <v>27.3</v>
      </c>
      <c r="R19" s="120">
        <v>1.7999999999999999E-2</v>
      </c>
      <c r="S19" s="120">
        <v>0</v>
      </c>
      <c r="T19" s="120">
        <v>0</v>
      </c>
    </row>
    <row r="20" spans="1:20" ht="18" customHeight="1" x14ac:dyDescent="0.25">
      <c r="A20" s="48" t="s">
        <v>94</v>
      </c>
      <c r="B20" s="3" t="s">
        <v>27</v>
      </c>
      <c r="C20" s="127">
        <v>50</v>
      </c>
      <c r="D20" s="127">
        <f>2*1.32</f>
        <v>2.64</v>
      </c>
      <c r="E20" s="127">
        <f>2*0.24</f>
        <v>0.48</v>
      </c>
      <c r="F20" s="127">
        <f>2*8.36</f>
        <v>16.72</v>
      </c>
      <c r="G20" s="127">
        <f>(9*E20)+4*(F20+D20)</f>
        <v>81.759999999999991</v>
      </c>
      <c r="H20" s="127">
        <v>0.03</v>
      </c>
      <c r="I20" s="127">
        <v>0</v>
      </c>
      <c r="J20" s="127">
        <v>0</v>
      </c>
      <c r="K20" s="127">
        <v>0</v>
      </c>
      <c r="L20" s="127">
        <v>0</v>
      </c>
      <c r="M20" s="127">
        <v>21.5</v>
      </c>
      <c r="N20" s="127">
        <v>4.96</v>
      </c>
      <c r="O20" s="127">
        <v>40</v>
      </c>
      <c r="P20" s="127">
        <v>0.4</v>
      </c>
      <c r="Q20" s="120">
        <v>25.6</v>
      </c>
      <c r="R20" s="120">
        <v>1.7999999999999999E-2</v>
      </c>
      <c r="S20" s="120">
        <v>0</v>
      </c>
      <c r="T20" s="120">
        <v>0</v>
      </c>
    </row>
    <row r="21" spans="1:20" ht="24" customHeight="1" x14ac:dyDescent="0.25">
      <c r="A21" s="49" t="s">
        <v>18</v>
      </c>
      <c r="B21" s="125"/>
      <c r="C21" s="119">
        <f>+C14+250+10+C16+C17+C18+C19+C20</f>
        <v>980</v>
      </c>
      <c r="D21" s="4">
        <f t="shared" ref="D21:T21" si="3">SUM(D14:D20)</f>
        <v>33.61</v>
      </c>
      <c r="E21" s="9">
        <f t="shared" si="3"/>
        <v>36.009999999999991</v>
      </c>
      <c r="F21" s="9">
        <f t="shared" si="3"/>
        <v>136.41</v>
      </c>
      <c r="G21" s="9">
        <f t="shared" si="3"/>
        <v>1011.7069999999999</v>
      </c>
      <c r="H21" s="119">
        <f t="shared" si="3"/>
        <v>0.56200000000000006</v>
      </c>
      <c r="I21" s="119">
        <f t="shared" si="3"/>
        <v>37.704999999999998</v>
      </c>
      <c r="J21" s="119">
        <f t="shared" si="3"/>
        <v>344.9</v>
      </c>
      <c r="K21" s="119">
        <f t="shared" si="3"/>
        <v>0.6369999999999999</v>
      </c>
      <c r="L21" s="119">
        <f t="shared" si="3"/>
        <v>3.5</v>
      </c>
      <c r="M21" s="119">
        <f t="shared" si="3"/>
        <v>413.22</v>
      </c>
      <c r="N21" s="119">
        <f t="shared" si="3"/>
        <v>92.569999999999979</v>
      </c>
      <c r="O21" s="119">
        <f t="shared" si="3"/>
        <v>383.32000000000005</v>
      </c>
      <c r="P21" s="119">
        <f t="shared" si="3"/>
        <v>8.9499999999999993</v>
      </c>
      <c r="Q21" s="119">
        <f t="shared" si="3"/>
        <v>343.8</v>
      </c>
      <c r="R21" s="119">
        <f t="shared" si="3"/>
        <v>4.7E-2</v>
      </c>
      <c r="S21" s="119">
        <f t="shared" si="3"/>
        <v>2.7E-2</v>
      </c>
      <c r="T21" s="119">
        <f t="shared" si="3"/>
        <v>0.65400000000000003</v>
      </c>
    </row>
    <row r="22" spans="1:20" ht="24" customHeight="1" x14ac:dyDescent="0.25">
      <c r="A22" s="244" t="s">
        <v>40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</row>
    <row r="23" spans="1:20" x14ac:dyDescent="0.25">
      <c r="A23" s="50" t="s">
        <v>108</v>
      </c>
      <c r="B23" s="124" t="s">
        <v>239</v>
      </c>
      <c r="C23" s="127">
        <v>150</v>
      </c>
      <c r="D23" s="2">
        <v>10.337</v>
      </c>
      <c r="E23" s="2">
        <v>8.6999999999999993</v>
      </c>
      <c r="F23" s="2">
        <v>26.3</v>
      </c>
      <c r="G23" s="2">
        <f>F23*4+E23*9+D23*4</f>
        <v>224.84800000000001</v>
      </c>
      <c r="H23" s="127">
        <v>0.08</v>
      </c>
      <c r="I23" s="127">
        <v>4.3</v>
      </c>
      <c r="J23" s="127">
        <v>100</v>
      </c>
      <c r="K23" s="127">
        <v>0.28999999999999998</v>
      </c>
      <c r="L23" s="127">
        <v>2.1</v>
      </c>
      <c r="M23" s="127">
        <v>287.39999999999998</v>
      </c>
      <c r="N23" s="127">
        <v>28</v>
      </c>
      <c r="O23" s="127">
        <v>183</v>
      </c>
      <c r="P23" s="127">
        <v>0.5</v>
      </c>
      <c r="Q23" s="120">
        <v>159</v>
      </c>
      <c r="R23" s="120">
        <v>8.0000000000000002E-3</v>
      </c>
      <c r="S23" s="120">
        <v>2E-3</v>
      </c>
      <c r="T23" s="120">
        <v>0.3</v>
      </c>
    </row>
    <row r="24" spans="1:20" x14ac:dyDescent="0.25">
      <c r="A24" s="48" t="s">
        <v>240</v>
      </c>
      <c r="B24" s="124" t="s">
        <v>170</v>
      </c>
      <c r="C24" s="127">
        <v>20</v>
      </c>
      <c r="D24" s="127">
        <v>2.11</v>
      </c>
      <c r="E24" s="127">
        <v>2.4</v>
      </c>
      <c r="F24" s="127">
        <v>16.66</v>
      </c>
      <c r="G24" s="11">
        <f t="shared" ref="G24:G25" si="4">(9*E24)+4*(F24+D24)</f>
        <v>96.679999999999993</v>
      </c>
      <c r="H24" s="127">
        <v>0.06</v>
      </c>
      <c r="I24" s="127">
        <v>0.01</v>
      </c>
      <c r="J24" s="127">
        <v>5</v>
      </c>
      <c r="K24" s="127">
        <v>0</v>
      </c>
      <c r="L24" s="127">
        <v>0</v>
      </c>
      <c r="M24" s="127">
        <v>8.1999999999999993</v>
      </c>
      <c r="N24" s="127">
        <v>7.5</v>
      </c>
      <c r="O24" s="127">
        <v>36.9</v>
      </c>
      <c r="P24" s="127">
        <v>1.073</v>
      </c>
      <c r="Q24" s="120">
        <v>30.1</v>
      </c>
      <c r="R24" s="120">
        <v>8.9999999999999993E-3</v>
      </c>
      <c r="S24" s="120">
        <v>5.0000000000000001E-3</v>
      </c>
      <c r="T24" s="120">
        <v>0.1</v>
      </c>
    </row>
    <row r="25" spans="1:20" ht="24" customHeight="1" x14ac:dyDescent="0.25">
      <c r="A25" s="166" t="s">
        <v>75</v>
      </c>
      <c r="B25" s="167" t="s">
        <v>160</v>
      </c>
      <c r="C25" s="169" t="s">
        <v>56</v>
      </c>
      <c r="D25" s="169">
        <v>0</v>
      </c>
      <c r="E25" s="169">
        <v>0</v>
      </c>
      <c r="F25" s="169">
        <v>9.98</v>
      </c>
      <c r="G25" s="169">
        <f t="shared" si="4"/>
        <v>39.92</v>
      </c>
      <c r="H25" s="169">
        <v>0</v>
      </c>
      <c r="I25" s="169">
        <v>0.1</v>
      </c>
      <c r="J25" s="169">
        <v>0</v>
      </c>
      <c r="K25" s="169">
        <v>0</v>
      </c>
      <c r="L25" s="169">
        <v>0</v>
      </c>
      <c r="M25" s="169">
        <v>5.25</v>
      </c>
      <c r="N25" s="169">
        <v>4.4000000000000004</v>
      </c>
      <c r="O25" s="169">
        <v>8.24</v>
      </c>
      <c r="P25" s="169">
        <v>0.86</v>
      </c>
      <c r="Q25" s="164">
        <v>24</v>
      </c>
      <c r="R25" s="164">
        <v>0</v>
      </c>
      <c r="S25" s="164">
        <v>0</v>
      </c>
      <c r="T25" s="164">
        <v>0.2</v>
      </c>
    </row>
    <row r="26" spans="1:20" ht="24" customHeight="1" x14ac:dyDescent="0.25">
      <c r="A26" s="244" t="s">
        <v>18</v>
      </c>
      <c r="B26" s="244"/>
      <c r="C26" s="143">
        <v>380</v>
      </c>
      <c r="D26" s="9">
        <f>SUM(D23:D25)</f>
        <v>12.446999999999999</v>
      </c>
      <c r="E26" s="9">
        <f t="shared" ref="E26:T26" si="5">SUM(E23:E25)</f>
        <v>11.1</v>
      </c>
      <c r="F26" s="9">
        <f t="shared" si="5"/>
        <v>52.94</v>
      </c>
      <c r="G26" s="9">
        <f t="shared" si="5"/>
        <v>361.44800000000004</v>
      </c>
      <c r="H26" s="10">
        <f t="shared" si="5"/>
        <v>0.14000000000000001</v>
      </c>
      <c r="I26" s="10">
        <f t="shared" si="5"/>
        <v>4.4099999999999993</v>
      </c>
      <c r="J26" s="10">
        <f t="shared" si="5"/>
        <v>105</v>
      </c>
      <c r="K26" s="10">
        <f t="shared" si="5"/>
        <v>0.28999999999999998</v>
      </c>
      <c r="L26" s="10">
        <f t="shared" si="5"/>
        <v>2.1</v>
      </c>
      <c r="M26" s="10">
        <f t="shared" si="5"/>
        <v>300.84999999999997</v>
      </c>
      <c r="N26" s="10">
        <f t="shared" si="5"/>
        <v>39.9</v>
      </c>
      <c r="O26" s="10">
        <f t="shared" si="5"/>
        <v>228.14000000000001</v>
      </c>
      <c r="P26" s="10">
        <f t="shared" si="5"/>
        <v>2.4329999999999998</v>
      </c>
      <c r="Q26" s="10">
        <f t="shared" si="5"/>
        <v>213.1</v>
      </c>
      <c r="R26" s="10">
        <f t="shared" si="5"/>
        <v>1.7000000000000001E-2</v>
      </c>
      <c r="S26" s="94">
        <f t="shared" si="5"/>
        <v>7.0000000000000001E-3</v>
      </c>
      <c r="T26" s="10">
        <f t="shared" si="5"/>
        <v>0.60000000000000009</v>
      </c>
    </row>
    <row r="27" spans="1:20" ht="24" customHeight="1" x14ac:dyDescent="0.25">
      <c r="A27" s="244" t="s">
        <v>51</v>
      </c>
      <c r="B27" s="245"/>
      <c r="C27" s="119">
        <f>+C12+C21+C26</f>
        <v>1940</v>
      </c>
      <c r="D27" s="9">
        <f t="shared" ref="D27:T27" si="6">D12+D21+D26</f>
        <v>71.257000000000005</v>
      </c>
      <c r="E27" s="9">
        <f t="shared" si="6"/>
        <v>72.169999999999987</v>
      </c>
      <c r="F27" s="9">
        <f t="shared" si="6"/>
        <v>304.87</v>
      </c>
      <c r="G27" s="9">
        <f t="shared" si="6"/>
        <v>2168.9809999999998</v>
      </c>
      <c r="H27" s="5">
        <f t="shared" si="6"/>
        <v>1.1140000000000001</v>
      </c>
      <c r="I27" s="5">
        <f t="shared" si="6"/>
        <v>55.414999999999992</v>
      </c>
      <c r="J27" s="5">
        <f t="shared" si="6"/>
        <v>708.7</v>
      </c>
      <c r="K27" s="5">
        <f t="shared" si="6"/>
        <v>1.367</v>
      </c>
      <c r="L27" s="5">
        <f t="shared" si="6"/>
        <v>7.9</v>
      </c>
      <c r="M27" s="5">
        <f t="shared" si="6"/>
        <v>959.6099999999999</v>
      </c>
      <c r="N27" s="5">
        <f t="shared" si="6"/>
        <v>237.42</v>
      </c>
      <c r="O27" s="5">
        <f t="shared" si="6"/>
        <v>945.2</v>
      </c>
      <c r="P27" s="5">
        <f t="shared" si="6"/>
        <v>14.992999999999999</v>
      </c>
      <c r="Q27" s="5">
        <f t="shared" si="6"/>
        <v>945.5</v>
      </c>
      <c r="R27" s="5">
        <f t="shared" si="6"/>
        <v>7.9000000000000001E-2</v>
      </c>
      <c r="S27" s="5">
        <f t="shared" si="6"/>
        <v>4.1500000000000002E-2</v>
      </c>
      <c r="T27" s="5">
        <f t="shared" si="6"/>
        <v>3.1840000000000002</v>
      </c>
    </row>
    <row r="28" spans="1:20" ht="24" customHeight="1" x14ac:dyDescent="0.25">
      <c r="A28" s="278" t="s">
        <v>44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</row>
    <row r="29" spans="1:20" ht="24" customHeight="1" x14ac:dyDescent="0.25">
      <c r="A29" s="244" t="s">
        <v>17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</row>
    <row r="30" spans="1:20" ht="24" customHeight="1" x14ac:dyDescent="0.25">
      <c r="A30" s="123" t="s">
        <v>109</v>
      </c>
      <c r="B30" s="124" t="s">
        <v>65</v>
      </c>
      <c r="C30" s="127">
        <v>200</v>
      </c>
      <c r="D30" s="127">
        <v>13</v>
      </c>
      <c r="E30" s="127">
        <v>12</v>
      </c>
      <c r="F30" s="127">
        <v>6.67</v>
      </c>
      <c r="G30" s="127">
        <f>F30*4+E30*9+D30*4</f>
        <v>186.68</v>
      </c>
      <c r="H30" s="127">
        <v>0.1</v>
      </c>
      <c r="I30" s="127">
        <v>0.6</v>
      </c>
      <c r="J30" s="127">
        <v>251.8</v>
      </c>
      <c r="K30" s="127">
        <v>0.64</v>
      </c>
      <c r="L30" s="127">
        <v>1.3</v>
      </c>
      <c r="M30" s="127">
        <v>189.78</v>
      </c>
      <c r="N30" s="127">
        <v>41.4</v>
      </c>
      <c r="O30" s="127">
        <v>138.4</v>
      </c>
      <c r="P30" s="127">
        <v>1.8</v>
      </c>
      <c r="Q30" s="120">
        <v>148.1</v>
      </c>
      <c r="R30" s="120">
        <v>1.2999999999999999E-2</v>
      </c>
      <c r="S30" s="120">
        <v>3.1E-2</v>
      </c>
      <c r="T30" s="120">
        <v>0.18</v>
      </c>
    </row>
    <row r="31" spans="1:20" x14ac:dyDescent="0.25">
      <c r="A31" s="122" t="s">
        <v>114</v>
      </c>
      <c r="B31" s="124" t="s">
        <v>136</v>
      </c>
      <c r="C31" s="127">
        <v>45</v>
      </c>
      <c r="D31" s="127">
        <v>6.15</v>
      </c>
      <c r="E31" s="127">
        <v>10.92</v>
      </c>
      <c r="F31" s="2">
        <v>16.274999999999999</v>
      </c>
      <c r="G31" s="42">
        <f t="shared" ref="G31" si="7">(9*E31)+4*(F31+D31)</f>
        <v>187.98</v>
      </c>
      <c r="H31" s="127">
        <f>0.22/2</f>
        <v>0.11</v>
      </c>
      <c r="I31" s="127">
        <f>0.06/2</f>
        <v>0.03</v>
      </c>
      <c r="J31" s="127">
        <v>26.15</v>
      </c>
      <c r="K31" s="127">
        <v>0.05</v>
      </c>
      <c r="L31" s="127">
        <v>0.35</v>
      </c>
      <c r="M31" s="127">
        <f>141.24/2</f>
        <v>70.62</v>
      </c>
      <c r="N31" s="127">
        <f>68.76/2</f>
        <v>34.380000000000003</v>
      </c>
      <c r="O31" s="127">
        <v>83.6</v>
      </c>
      <c r="P31" s="127">
        <v>0.33</v>
      </c>
      <c r="Q31" s="120">
        <v>55.6</v>
      </c>
      <c r="R31" s="120">
        <v>3.0000000000000001E-3</v>
      </c>
      <c r="S31" s="120">
        <v>0</v>
      </c>
      <c r="T31" s="120">
        <v>3.1099999999999999E-2</v>
      </c>
    </row>
    <row r="32" spans="1:20" x14ac:dyDescent="0.25">
      <c r="A32" s="147" t="s">
        <v>164</v>
      </c>
      <c r="B32" s="30" t="s">
        <v>141</v>
      </c>
      <c r="C32" s="120">
        <v>60</v>
      </c>
      <c r="D32" s="89">
        <f>60*1.41/100</f>
        <v>0.84599999999999997</v>
      </c>
      <c r="E32" s="120">
        <f>60*3.25/100</f>
        <v>1.95</v>
      </c>
      <c r="F32" s="89">
        <v>38.6</v>
      </c>
      <c r="G32" s="2">
        <f>D32*4+E32*9+F32*4</f>
        <v>175.334</v>
      </c>
      <c r="H32" s="127">
        <v>0</v>
      </c>
      <c r="I32" s="127">
        <v>7.6</v>
      </c>
      <c r="J32" s="127">
        <v>0</v>
      </c>
      <c r="K32" s="127">
        <v>0</v>
      </c>
      <c r="L32" s="127">
        <v>1E-3</v>
      </c>
      <c r="M32" s="127">
        <v>18.62</v>
      </c>
      <c r="N32" s="127">
        <v>18.8</v>
      </c>
      <c r="O32" s="127">
        <v>36.479999999999997</v>
      </c>
      <c r="P32" s="127">
        <v>0.86</v>
      </c>
      <c r="Q32" s="120">
        <v>41.8</v>
      </c>
      <c r="R32" s="120">
        <v>1E-3</v>
      </c>
      <c r="S32" s="120">
        <v>0</v>
      </c>
      <c r="T32" s="120">
        <v>5.5999999999999999E-3</v>
      </c>
    </row>
    <row r="33" spans="1:20" ht="24" customHeight="1" x14ac:dyDescent="0.25">
      <c r="A33" s="123" t="s">
        <v>75</v>
      </c>
      <c r="B33" s="148" t="s">
        <v>160</v>
      </c>
      <c r="C33" s="127" t="s">
        <v>56</v>
      </c>
      <c r="D33" s="127">
        <v>0</v>
      </c>
      <c r="E33" s="127">
        <v>0</v>
      </c>
      <c r="F33" s="127">
        <v>9.98</v>
      </c>
      <c r="G33" s="127">
        <f>(9*E33)+4*(F33+D33)</f>
        <v>39.92</v>
      </c>
      <c r="H33" s="127">
        <v>0</v>
      </c>
      <c r="I33" s="127">
        <v>0.1</v>
      </c>
      <c r="J33" s="127">
        <v>0</v>
      </c>
      <c r="K33" s="127">
        <v>0</v>
      </c>
      <c r="L33" s="127">
        <v>0</v>
      </c>
      <c r="M33" s="127">
        <v>5.25</v>
      </c>
      <c r="N33" s="127">
        <v>6</v>
      </c>
      <c r="O33" s="127">
        <v>8.24</v>
      </c>
      <c r="P33" s="127">
        <v>0.86</v>
      </c>
      <c r="Q33" s="120">
        <v>24</v>
      </c>
      <c r="R33" s="120">
        <v>0</v>
      </c>
      <c r="S33" s="120">
        <v>0</v>
      </c>
      <c r="T33" s="120">
        <v>0.2</v>
      </c>
    </row>
    <row r="34" spans="1:20" x14ac:dyDescent="0.25">
      <c r="A34" s="48" t="s">
        <v>93</v>
      </c>
      <c r="B34" s="124" t="s">
        <v>25</v>
      </c>
      <c r="C34" s="127">
        <v>50</v>
      </c>
      <c r="D34" s="127">
        <f>2*1.52</f>
        <v>3.04</v>
      </c>
      <c r="E34" s="127">
        <f>2*0.16</f>
        <v>0.32</v>
      </c>
      <c r="F34" s="127">
        <f>2*10.03</f>
        <v>20.059999999999999</v>
      </c>
      <c r="G34" s="11">
        <f>(9*E34)+4*(F34+D34)</f>
        <v>95.279999999999987</v>
      </c>
      <c r="H34" s="127">
        <v>5.1999999999999998E-2</v>
      </c>
      <c r="I34" s="127">
        <v>0.4</v>
      </c>
      <c r="J34" s="127">
        <v>0</v>
      </c>
      <c r="K34" s="127">
        <v>0</v>
      </c>
      <c r="L34" s="127">
        <v>0</v>
      </c>
      <c r="M34" s="127">
        <v>5.8</v>
      </c>
      <c r="N34" s="127">
        <v>9.6</v>
      </c>
      <c r="O34" s="127">
        <v>36.799999999999997</v>
      </c>
      <c r="P34" s="127">
        <v>0.44</v>
      </c>
      <c r="Q34" s="120">
        <v>36.4</v>
      </c>
      <c r="R34" s="120">
        <v>1.2E-2</v>
      </c>
      <c r="S34" s="120">
        <v>2E-3</v>
      </c>
      <c r="T34" s="120">
        <v>0</v>
      </c>
    </row>
    <row r="35" spans="1:20" ht="24" customHeight="1" x14ac:dyDescent="0.25">
      <c r="A35" s="225" t="s">
        <v>18</v>
      </c>
      <c r="B35" s="240"/>
      <c r="C35" s="44">
        <v>565</v>
      </c>
      <c r="D35" s="9">
        <f t="shared" ref="D35:T35" si="8">SUM(D30:D34)</f>
        <v>23.035999999999998</v>
      </c>
      <c r="E35" s="4">
        <f t="shared" si="8"/>
        <v>25.19</v>
      </c>
      <c r="F35" s="9">
        <f t="shared" si="8"/>
        <v>91.585000000000008</v>
      </c>
      <c r="G35" s="14">
        <f t="shared" si="8"/>
        <v>685.19399999999985</v>
      </c>
      <c r="H35" s="5">
        <f t="shared" si="8"/>
        <v>0.26200000000000001</v>
      </c>
      <c r="I35" s="5">
        <f t="shared" si="8"/>
        <v>8.73</v>
      </c>
      <c r="J35" s="5">
        <f t="shared" si="8"/>
        <v>277.95</v>
      </c>
      <c r="K35" s="5">
        <f t="shared" si="8"/>
        <v>0.69000000000000006</v>
      </c>
      <c r="L35" s="5">
        <f t="shared" si="8"/>
        <v>1.6509999999999998</v>
      </c>
      <c r="M35" s="5">
        <f t="shared" si="8"/>
        <v>290.07</v>
      </c>
      <c r="N35" s="5">
        <f t="shared" si="8"/>
        <v>110.17999999999999</v>
      </c>
      <c r="O35" s="5">
        <f t="shared" si="8"/>
        <v>303.52000000000004</v>
      </c>
      <c r="P35" s="5">
        <f t="shared" si="8"/>
        <v>4.29</v>
      </c>
      <c r="Q35" s="5">
        <f t="shared" si="8"/>
        <v>305.89999999999998</v>
      </c>
      <c r="R35" s="5">
        <f t="shared" si="8"/>
        <v>2.9000000000000001E-2</v>
      </c>
      <c r="S35" s="5">
        <f t="shared" si="8"/>
        <v>3.3000000000000002E-2</v>
      </c>
      <c r="T35" s="5">
        <f t="shared" si="8"/>
        <v>0.41669999999999996</v>
      </c>
    </row>
    <row r="36" spans="1:20" ht="24" customHeight="1" x14ac:dyDescent="0.25">
      <c r="A36" s="244" t="s">
        <v>19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</row>
    <row r="37" spans="1:20" ht="32.1" customHeight="1" x14ac:dyDescent="0.25">
      <c r="A37" s="166" t="s">
        <v>116</v>
      </c>
      <c r="B37" s="167" t="s">
        <v>88</v>
      </c>
      <c r="C37" s="169" t="s">
        <v>89</v>
      </c>
      <c r="D37" s="169">
        <v>12.15</v>
      </c>
      <c r="E37" s="169">
        <v>16.98</v>
      </c>
      <c r="F37" s="169">
        <v>32.75</v>
      </c>
      <c r="G37" s="11">
        <f t="shared" ref="G37:G43" si="9">(9*E37)+4*(F37+D37)</f>
        <v>332.41999999999996</v>
      </c>
      <c r="H37" s="169">
        <v>0.12</v>
      </c>
      <c r="I37" s="169">
        <v>20.6</v>
      </c>
      <c r="J37" s="169">
        <v>132.34</v>
      </c>
      <c r="K37" s="169">
        <v>0.05</v>
      </c>
      <c r="L37" s="169">
        <v>0.6</v>
      </c>
      <c r="M37" s="169">
        <v>122.44</v>
      </c>
      <c r="N37" s="169">
        <v>32.4</v>
      </c>
      <c r="O37" s="169">
        <v>86</v>
      </c>
      <c r="P37" s="170">
        <v>1.363</v>
      </c>
      <c r="Q37" s="164">
        <v>108.3</v>
      </c>
      <c r="R37" s="164">
        <v>2E-3</v>
      </c>
      <c r="S37" s="164">
        <v>5.0000000000000001E-4</v>
      </c>
      <c r="T37" s="164">
        <v>0.6</v>
      </c>
    </row>
    <row r="38" spans="1:20" x14ac:dyDescent="0.25">
      <c r="A38" s="47" t="s">
        <v>241</v>
      </c>
      <c r="B38" s="1" t="s">
        <v>171</v>
      </c>
      <c r="C38" s="175">
        <v>120</v>
      </c>
      <c r="D38" s="175">
        <v>14.28</v>
      </c>
      <c r="E38" s="175">
        <v>11.8</v>
      </c>
      <c r="F38" s="175">
        <v>11.87</v>
      </c>
      <c r="G38" s="11">
        <f t="shared" si="9"/>
        <v>210.8</v>
      </c>
      <c r="H38" s="169">
        <v>0.11</v>
      </c>
      <c r="I38" s="169">
        <v>2.8</v>
      </c>
      <c r="J38" s="169">
        <v>74.599999999999994</v>
      </c>
      <c r="K38" s="169">
        <v>0.19</v>
      </c>
      <c r="L38" s="169">
        <v>5.05</v>
      </c>
      <c r="M38" s="169">
        <v>79.099999999999994</v>
      </c>
      <c r="N38" s="169">
        <v>22.4</v>
      </c>
      <c r="O38" s="169">
        <v>123.9</v>
      </c>
      <c r="P38" s="169">
        <v>2.93</v>
      </c>
      <c r="Q38" s="164">
        <v>39.4</v>
      </c>
      <c r="R38" s="164">
        <v>8.0000000000000002E-3</v>
      </c>
      <c r="S38" s="164">
        <v>8.9999999999999998E-4</v>
      </c>
      <c r="T38" s="164">
        <v>0.54</v>
      </c>
    </row>
    <row r="39" spans="1:20" x14ac:dyDescent="0.25">
      <c r="A39" s="174" t="s">
        <v>110</v>
      </c>
      <c r="B39" s="1" t="s">
        <v>28</v>
      </c>
      <c r="C39" s="175">
        <v>180</v>
      </c>
      <c r="D39" s="175">
        <v>4.55</v>
      </c>
      <c r="E39" s="175">
        <v>5.74</v>
      </c>
      <c r="F39" s="175">
        <v>18.899999999999999</v>
      </c>
      <c r="G39" s="11">
        <f t="shared" si="9"/>
        <v>145.46</v>
      </c>
      <c r="H39" s="169">
        <v>0.32</v>
      </c>
      <c r="I39" s="169">
        <v>5.95</v>
      </c>
      <c r="J39" s="169">
        <v>85.4</v>
      </c>
      <c r="K39" s="169">
        <v>0.24</v>
      </c>
      <c r="L39" s="169">
        <v>0.62</v>
      </c>
      <c r="M39" s="169">
        <v>129.66999999999999</v>
      </c>
      <c r="N39" s="169">
        <v>29.2</v>
      </c>
      <c r="O39" s="8">
        <v>111.3</v>
      </c>
      <c r="P39" s="169">
        <v>2.6</v>
      </c>
      <c r="Q39" s="164">
        <v>215.8</v>
      </c>
      <c r="R39" s="164">
        <v>0.01</v>
      </c>
      <c r="S39" s="164">
        <v>4.4999999999999999E-4</v>
      </c>
      <c r="T39" s="164">
        <v>1.1000000000000001</v>
      </c>
    </row>
    <row r="40" spans="1:20" ht="36" customHeight="1" x14ac:dyDescent="0.25">
      <c r="A40" s="47" t="s">
        <v>242</v>
      </c>
      <c r="B40" s="1" t="s">
        <v>247</v>
      </c>
      <c r="C40" s="203" t="s">
        <v>248</v>
      </c>
      <c r="D40" s="175">
        <v>0</v>
      </c>
      <c r="E40" s="175">
        <v>0</v>
      </c>
      <c r="F40" s="175">
        <v>1</v>
      </c>
      <c r="G40" s="11">
        <f t="shared" si="9"/>
        <v>4</v>
      </c>
      <c r="H40" s="169">
        <v>0</v>
      </c>
      <c r="I40" s="169">
        <v>0</v>
      </c>
      <c r="J40" s="169">
        <v>35.6</v>
      </c>
      <c r="K40" s="169">
        <v>0</v>
      </c>
      <c r="L40" s="169">
        <v>0</v>
      </c>
      <c r="M40" s="169">
        <v>5</v>
      </c>
      <c r="N40" s="169">
        <v>0</v>
      </c>
      <c r="O40" s="169">
        <v>4</v>
      </c>
      <c r="P40" s="169">
        <v>0.24</v>
      </c>
      <c r="Q40" s="164">
        <v>50.5</v>
      </c>
      <c r="R40" s="164">
        <v>0</v>
      </c>
      <c r="S40" s="164">
        <v>0</v>
      </c>
      <c r="T40" s="164">
        <v>0</v>
      </c>
    </row>
    <row r="41" spans="1:20" x14ac:dyDescent="0.25">
      <c r="A41" s="48" t="s">
        <v>159</v>
      </c>
      <c r="B41" s="167" t="s">
        <v>158</v>
      </c>
      <c r="C41" s="169">
        <v>200</v>
      </c>
      <c r="D41" s="169">
        <v>0.2</v>
      </c>
      <c r="E41" s="169">
        <v>0.06</v>
      </c>
      <c r="F41" s="169">
        <v>15.64</v>
      </c>
      <c r="G41" s="11">
        <f t="shared" si="9"/>
        <v>63.9</v>
      </c>
      <c r="H41" s="169">
        <v>2.8000000000000001E-2</v>
      </c>
      <c r="I41" s="169">
        <v>4</v>
      </c>
      <c r="J41" s="169">
        <v>0</v>
      </c>
      <c r="K41" s="169">
        <v>0</v>
      </c>
      <c r="L41" s="169">
        <v>0</v>
      </c>
      <c r="M41" s="169">
        <v>8.0500000000000007</v>
      </c>
      <c r="N41" s="169">
        <v>5.24</v>
      </c>
      <c r="O41" s="169">
        <v>9.7799999999999994</v>
      </c>
      <c r="P41" s="169">
        <v>0.19</v>
      </c>
      <c r="Q41" s="164">
        <v>21</v>
      </c>
      <c r="R41" s="164">
        <v>0</v>
      </c>
      <c r="S41" s="164">
        <v>0</v>
      </c>
      <c r="T41" s="164">
        <v>2E-3</v>
      </c>
    </row>
    <row r="42" spans="1:20" x14ac:dyDescent="0.25">
      <c r="A42" s="48" t="s">
        <v>93</v>
      </c>
      <c r="B42" s="167" t="s">
        <v>25</v>
      </c>
      <c r="C42" s="169">
        <v>50</v>
      </c>
      <c r="D42" s="169">
        <v>4.5600000000000005</v>
      </c>
      <c r="E42" s="169">
        <v>0.48</v>
      </c>
      <c r="F42" s="169">
        <v>20.6</v>
      </c>
      <c r="G42" s="11">
        <f t="shared" si="9"/>
        <v>104.96000000000001</v>
      </c>
      <c r="H42" s="169">
        <v>5.1999999999999998E-2</v>
      </c>
      <c r="I42" s="169">
        <v>0.4</v>
      </c>
      <c r="J42" s="169">
        <v>0</v>
      </c>
      <c r="K42" s="169">
        <v>0</v>
      </c>
      <c r="L42" s="169">
        <v>0</v>
      </c>
      <c r="M42" s="169">
        <v>5.8</v>
      </c>
      <c r="N42" s="169">
        <v>9.6</v>
      </c>
      <c r="O42" s="169">
        <v>36.799999999999997</v>
      </c>
      <c r="P42" s="169">
        <v>0.44</v>
      </c>
      <c r="Q42" s="164">
        <v>18.2</v>
      </c>
      <c r="R42" s="164">
        <v>6.0000000000000001E-3</v>
      </c>
      <c r="S42" s="164">
        <v>1E-3</v>
      </c>
      <c r="T42" s="164">
        <v>0</v>
      </c>
    </row>
    <row r="43" spans="1:20" x14ac:dyDescent="0.25">
      <c r="A43" s="48" t="s">
        <v>94</v>
      </c>
      <c r="B43" s="3" t="s">
        <v>27</v>
      </c>
      <c r="C43" s="169">
        <v>50</v>
      </c>
      <c r="D43" s="169">
        <v>2.64</v>
      </c>
      <c r="E43" s="169">
        <v>0.48</v>
      </c>
      <c r="F43" s="169">
        <v>16.72</v>
      </c>
      <c r="G43" s="11">
        <f t="shared" si="9"/>
        <v>81.759999999999991</v>
      </c>
      <c r="H43" s="169">
        <v>0.03</v>
      </c>
      <c r="I43" s="169">
        <v>0</v>
      </c>
      <c r="J43" s="169">
        <v>0</v>
      </c>
      <c r="K43" s="169">
        <v>0</v>
      </c>
      <c r="L43" s="169">
        <v>0</v>
      </c>
      <c r="M43" s="169">
        <v>5.08</v>
      </c>
      <c r="N43" s="169">
        <v>4.96</v>
      </c>
      <c r="O43" s="169">
        <v>40</v>
      </c>
      <c r="P43" s="169">
        <v>0.4</v>
      </c>
      <c r="Q43" s="164">
        <v>16.2</v>
      </c>
      <c r="R43" s="164">
        <v>6.0000000000000001E-3</v>
      </c>
      <c r="S43" s="164">
        <v>1E-3</v>
      </c>
      <c r="T43" s="164">
        <v>0</v>
      </c>
    </row>
    <row r="44" spans="1:20" ht="24" customHeight="1" x14ac:dyDescent="0.25">
      <c r="A44" s="225" t="s">
        <v>18</v>
      </c>
      <c r="B44" s="266"/>
      <c r="C44" s="144" t="s">
        <v>243</v>
      </c>
      <c r="D44" s="4">
        <f t="shared" ref="D44:T44" si="10">SUM(D37:D43)</f>
        <v>38.380000000000003</v>
      </c>
      <c r="E44" s="4">
        <f t="shared" si="10"/>
        <v>35.54</v>
      </c>
      <c r="F44" s="4">
        <f t="shared" si="10"/>
        <v>117.47999999999999</v>
      </c>
      <c r="G44" s="4">
        <f t="shared" si="10"/>
        <v>943.30000000000007</v>
      </c>
      <c r="H44" s="5">
        <f t="shared" si="10"/>
        <v>0.66000000000000014</v>
      </c>
      <c r="I44" s="5">
        <f t="shared" si="10"/>
        <v>33.75</v>
      </c>
      <c r="J44" s="5">
        <f t="shared" si="10"/>
        <v>327.94000000000005</v>
      </c>
      <c r="K44" s="5">
        <f t="shared" si="10"/>
        <v>0.48</v>
      </c>
      <c r="L44" s="5">
        <f t="shared" si="10"/>
        <v>6.27</v>
      </c>
      <c r="M44" s="5">
        <f t="shared" si="10"/>
        <v>355.14</v>
      </c>
      <c r="N44" s="5">
        <f t="shared" si="10"/>
        <v>103.79999999999998</v>
      </c>
      <c r="O44" s="5">
        <f t="shared" si="10"/>
        <v>411.78</v>
      </c>
      <c r="P44" s="5">
        <f t="shared" si="10"/>
        <v>8.163000000000002</v>
      </c>
      <c r="Q44" s="5">
        <f t="shared" si="10"/>
        <v>469.4</v>
      </c>
      <c r="R44" s="5">
        <f t="shared" si="10"/>
        <v>3.2000000000000001E-2</v>
      </c>
      <c r="S44" s="5">
        <f t="shared" si="10"/>
        <v>3.8500000000000001E-3</v>
      </c>
      <c r="T44" s="5">
        <f t="shared" si="10"/>
        <v>2.242</v>
      </c>
    </row>
    <row r="45" spans="1:20" ht="24" customHeight="1" x14ac:dyDescent="0.25">
      <c r="A45" s="244" t="s">
        <v>40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</row>
    <row r="46" spans="1:20" ht="25.5" x14ac:dyDescent="0.25">
      <c r="A46" s="132" t="s">
        <v>174</v>
      </c>
      <c r="B46" s="167" t="s">
        <v>175</v>
      </c>
      <c r="C46" s="169">
        <v>200</v>
      </c>
      <c r="D46" s="169">
        <v>0.2</v>
      </c>
      <c r="E46" s="169">
        <v>0</v>
      </c>
      <c r="F46" s="169">
        <v>12.48</v>
      </c>
      <c r="G46" s="11">
        <f>(9*E46)+4*(F46+D46)</f>
        <v>50.72</v>
      </c>
      <c r="H46" s="169">
        <v>0.06</v>
      </c>
      <c r="I46" s="169">
        <v>2.5</v>
      </c>
      <c r="J46" s="169">
        <v>44</v>
      </c>
      <c r="K46" s="169">
        <v>0.04</v>
      </c>
      <c r="L46" s="169">
        <v>1.2</v>
      </c>
      <c r="M46" s="169">
        <v>248</v>
      </c>
      <c r="N46" s="169">
        <v>20</v>
      </c>
      <c r="O46" s="169">
        <v>164</v>
      </c>
      <c r="P46" s="170">
        <v>0.2</v>
      </c>
      <c r="Q46" s="164">
        <v>119</v>
      </c>
      <c r="R46" s="164">
        <v>0</v>
      </c>
      <c r="S46" s="164">
        <v>0</v>
      </c>
      <c r="T46" s="164">
        <v>0</v>
      </c>
    </row>
    <row r="47" spans="1:20" x14ac:dyDescent="0.25">
      <c r="A47" s="48" t="s">
        <v>95</v>
      </c>
      <c r="B47" s="167" t="s">
        <v>82</v>
      </c>
      <c r="C47" s="169">
        <v>65</v>
      </c>
      <c r="D47" s="169">
        <v>7.2</v>
      </c>
      <c r="E47" s="169">
        <v>11.8</v>
      </c>
      <c r="F47" s="169">
        <v>69</v>
      </c>
      <c r="G47" s="169">
        <f t="shared" ref="G47:G48" si="11">(9*E47)+4*(F47+D47)</f>
        <v>411</v>
      </c>
      <c r="H47" s="169">
        <v>0.09</v>
      </c>
      <c r="I47" s="169">
        <v>0.4</v>
      </c>
      <c r="J47" s="169">
        <v>18.75</v>
      </c>
      <c r="K47" s="169">
        <v>7.0000000000000007E-2</v>
      </c>
      <c r="L47" s="169">
        <v>0</v>
      </c>
      <c r="M47" s="169">
        <v>25.8</v>
      </c>
      <c r="N47" s="169">
        <v>0.96</v>
      </c>
      <c r="O47" s="169">
        <v>36.799999999999997</v>
      </c>
      <c r="P47" s="170">
        <v>0.36</v>
      </c>
      <c r="Q47" s="164">
        <v>52</v>
      </c>
      <c r="R47" s="164">
        <v>1E-3</v>
      </c>
      <c r="S47" s="164">
        <v>4.0000000000000001E-3</v>
      </c>
      <c r="T47" s="164">
        <v>0</v>
      </c>
    </row>
    <row r="48" spans="1:20" x14ac:dyDescent="0.25">
      <c r="A48" s="165" t="s">
        <v>176</v>
      </c>
      <c r="B48" s="167" t="s">
        <v>73</v>
      </c>
      <c r="C48" s="169">
        <v>100</v>
      </c>
      <c r="D48" s="169">
        <v>2.48</v>
      </c>
      <c r="E48" s="169">
        <v>0.48</v>
      </c>
      <c r="F48" s="169">
        <v>12.8</v>
      </c>
      <c r="G48" s="2">
        <f t="shared" si="11"/>
        <v>65.44</v>
      </c>
      <c r="H48" s="172">
        <v>0.03</v>
      </c>
      <c r="I48" s="172">
        <v>10</v>
      </c>
      <c r="J48" s="172">
        <v>40.299999999999997</v>
      </c>
      <c r="K48" s="172">
        <v>0.02</v>
      </c>
      <c r="L48" s="172">
        <v>0</v>
      </c>
      <c r="M48" s="172">
        <v>29.5</v>
      </c>
      <c r="N48" s="172">
        <v>2.7</v>
      </c>
      <c r="O48" s="172">
        <v>29.5</v>
      </c>
      <c r="P48" s="171">
        <v>1.2</v>
      </c>
      <c r="Q48" s="164">
        <v>0.4</v>
      </c>
      <c r="R48" s="164">
        <v>1.7000000000000001E-2</v>
      </c>
      <c r="S48" s="164">
        <v>0</v>
      </c>
      <c r="T48" s="164">
        <v>0.5</v>
      </c>
    </row>
    <row r="49" spans="1:20" ht="24" customHeight="1" x14ac:dyDescent="0.25">
      <c r="A49" s="244" t="s">
        <v>18</v>
      </c>
      <c r="B49" s="245"/>
      <c r="C49" s="119">
        <f>SUM(C46:C48)</f>
        <v>365</v>
      </c>
      <c r="D49" s="4">
        <f>SUM(D46:D48)</f>
        <v>9.8800000000000008</v>
      </c>
      <c r="E49" s="4">
        <f t="shared" ref="E49:G49" si="12">SUM(E46:E48)</f>
        <v>12.280000000000001</v>
      </c>
      <c r="F49" s="4">
        <f t="shared" si="12"/>
        <v>94.28</v>
      </c>
      <c r="G49" s="4">
        <f t="shared" si="12"/>
        <v>527.16000000000008</v>
      </c>
      <c r="H49" s="5">
        <f t="shared" ref="H49:T49" si="13">SUM(H46:H48)</f>
        <v>0.18</v>
      </c>
      <c r="I49" s="5">
        <f t="shared" si="13"/>
        <v>12.9</v>
      </c>
      <c r="J49" s="5">
        <f t="shared" si="13"/>
        <v>103.05</v>
      </c>
      <c r="K49" s="5">
        <f t="shared" si="13"/>
        <v>0.13</v>
      </c>
      <c r="L49" s="5">
        <v>0</v>
      </c>
      <c r="M49" s="5">
        <f t="shared" si="13"/>
        <v>303.3</v>
      </c>
      <c r="N49" s="5">
        <f t="shared" si="13"/>
        <v>23.66</v>
      </c>
      <c r="O49" s="5">
        <f t="shared" si="13"/>
        <v>230.3</v>
      </c>
      <c r="P49" s="5">
        <f t="shared" si="13"/>
        <v>1.76</v>
      </c>
      <c r="Q49" s="5">
        <f t="shared" si="13"/>
        <v>171.4</v>
      </c>
      <c r="R49" s="5">
        <f t="shared" si="13"/>
        <v>1.8000000000000002E-2</v>
      </c>
      <c r="S49" s="5">
        <f t="shared" si="13"/>
        <v>4.0000000000000001E-3</v>
      </c>
      <c r="T49" s="5">
        <f t="shared" si="13"/>
        <v>0.5</v>
      </c>
    </row>
    <row r="50" spans="1:20" ht="24" customHeight="1" x14ac:dyDescent="0.25">
      <c r="A50" s="244" t="s">
        <v>20</v>
      </c>
      <c r="B50" s="245"/>
      <c r="C50" s="119">
        <f>+C35+C44+C49</f>
        <v>1795</v>
      </c>
      <c r="D50" s="9">
        <f t="shared" ref="D50:T50" si="14">D49+D44+D35</f>
        <v>71.296000000000006</v>
      </c>
      <c r="E50" s="4">
        <f t="shared" si="14"/>
        <v>73.010000000000005</v>
      </c>
      <c r="F50" s="9">
        <f t="shared" si="14"/>
        <v>303.34500000000003</v>
      </c>
      <c r="G50" s="64">
        <f t="shared" si="14"/>
        <v>2155.654</v>
      </c>
      <c r="H50" s="5">
        <f t="shared" si="14"/>
        <v>1.1020000000000001</v>
      </c>
      <c r="I50" s="5">
        <f t="shared" si="14"/>
        <v>55.379999999999995</v>
      </c>
      <c r="J50" s="5">
        <f t="shared" si="14"/>
        <v>708.94</v>
      </c>
      <c r="K50" s="5">
        <f t="shared" si="14"/>
        <v>1.3</v>
      </c>
      <c r="L50" s="5">
        <f t="shared" si="14"/>
        <v>7.9209999999999994</v>
      </c>
      <c r="M50" s="5">
        <f t="shared" si="14"/>
        <v>948.51</v>
      </c>
      <c r="N50" s="5">
        <f t="shared" si="14"/>
        <v>237.64</v>
      </c>
      <c r="O50" s="5">
        <f t="shared" si="14"/>
        <v>945.59999999999991</v>
      </c>
      <c r="P50" s="5">
        <f t="shared" si="14"/>
        <v>14.213000000000001</v>
      </c>
      <c r="Q50" s="5">
        <f t="shared" si="14"/>
        <v>946.69999999999993</v>
      </c>
      <c r="R50" s="94">
        <f t="shared" si="14"/>
        <v>7.9000000000000001E-2</v>
      </c>
      <c r="S50" s="5">
        <f t="shared" si="14"/>
        <v>4.0849999999999997E-2</v>
      </c>
      <c r="T50" s="5">
        <f t="shared" si="14"/>
        <v>3.1587000000000001</v>
      </c>
    </row>
    <row r="51" spans="1:20" ht="24" customHeight="1" x14ac:dyDescent="0.25">
      <c r="A51" s="282" t="s">
        <v>45</v>
      </c>
      <c r="B51" s="282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</row>
    <row r="52" spans="1:20" ht="24" customHeight="1" x14ac:dyDescent="0.25">
      <c r="A52" s="244" t="s">
        <v>17</v>
      </c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</row>
    <row r="53" spans="1:20" ht="44.25" customHeight="1" x14ac:dyDescent="0.25">
      <c r="A53" s="166" t="s">
        <v>43</v>
      </c>
      <c r="B53" s="167" t="s">
        <v>144</v>
      </c>
      <c r="C53" s="169" t="s">
        <v>91</v>
      </c>
      <c r="D53" s="169">
        <v>7.5</v>
      </c>
      <c r="E53" s="169">
        <v>11.1</v>
      </c>
      <c r="F53" s="169">
        <v>31.05</v>
      </c>
      <c r="G53" s="169">
        <f>D53*4+E53*9+F53*4</f>
        <v>254.09999999999997</v>
      </c>
      <c r="H53" s="169">
        <v>0.22</v>
      </c>
      <c r="I53" s="169">
        <v>16</v>
      </c>
      <c r="J53" s="169">
        <v>178.7</v>
      </c>
      <c r="K53" s="169">
        <v>0.12</v>
      </c>
      <c r="L53" s="169">
        <v>0</v>
      </c>
      <c r="M53" s="169">
        <v>121.12</v>
      </c>
      <c r="N53" s="169">
        <v>79.89</v>
      </c>
      <c r="O53" s="169">
        <v>172.54</v>
      </c>
      <c r="P53" s="169">
        <v>2.42</v>
      </c>
      <c r="Q53" s="164">
        <v>139</v>
      </c>
      <c r="R53" s="164">
        <v>1E-3</v>
      </c>
      <c r="S53" s="164">
        <v>8.9999999999999993E-3</v>
      </c>
      <c r="T53" s="164">
        <v>0</v>
      </c>
    </row>
    <row r="54" spans="1:20" ht="22.5" customHeight="1" x14ac:dyDescent="0.25">
      <c r="A54" s="48" t="s">
        <v>98</v>
      </c>
      <c r="B54" s="167" t="s">
        <v>74</v>
      </c>
      <c r="C54" s="169">
        <v>75</v>
      </c>
      <c r="D54" s="169">
        <v>2.79</v>
      </c>
      <c r="E54" s="169">
        <v>4.22</v>
      </c>
      <c r="F54" s="169">
        <v>30</v>
      </c>
      <c r="G54" s="169">
        <f>(9*E54)+4*(F54+D54)</f>
        <v>169.14</v>
      </c>
      <c r="H54" s="169">
        <v>0.03</v>
      </c>
      <c r="I54" s="169">
        <v>0.03</v>
      </c>
      <c r="J54" s="169">
        <v>0.5</v>
      </c>
      <c r="K54" s="169">
        <v>0.3</v>
      </c>
      <c r="L54" s="169">
        <v>0.05</v>
      </c>
      <c r="M54" s="169">
        <v>16</v>
      </c>
      <c r="N54" s="169">
        <v>9</v>
      </c>
      <c r="O54" s="169">
        <v>11</v>
      </c>
      <c r="P54" s="170">
        <v>0.5</v>
      </c>
      <c r="Q54" s="164">
        <v>1.2</v>
      </c>
      <c r="R54" s="164">
        <v>0</v>
      </c>
      <c r="S54" s="164">
        <v>4.0000000000000001E-3</v>
      </c>
      <c r="T54" s="164">
        <v>0.45</v>
      </c>
    </row>
    <row r="55" spans="1:20" x14ac:dyDescent="0.25">
      <c r="A55" s="166" t="s">
        <v>177</v>
      </c>
      <c r="B55" s="167" t="s">
        <v>178</v>
      </c>
      <c r="C55" s="169">
        <v>200</v>
      </c>
      <c r="D55" s="169">
        <v>7.6</v>
      </c>
      <c r="E55" s="169">
        <v>7.4</v>
      </c>
      <c r="F55" s="169">
        <v>9.2799999999999994</v>
      </c>
      <c r="G55" s="169">
        <f>(9*E55)+4*(F55+D55)</f>
        <v>134.12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64</v>
      </c>
      <c r="N55" s="169">
        <v>6</v>
      </c>
      <c r="O55" s="169">
        <v>8.24</v>
      </c>
      <c r="P55" s="170">
        <v>0.53</v>
      </c>
      <c r="Q55" s="164">
        <v>114</v>
      </c>
      <c r="R55" s="164">
        <v>0</v>
      </c>
      <c r="S55" s="164">
        <v>0</v>
      </c>
      <c r="T55" s="164">
        <v>0.2</v>
      </c>
    </row>
    <row r="56" spans="1:20" x14ac:dyDescent="0.25">
      <c r="A56" s="48" t="s">
        <v>93</v>
      </c>
      <c r="B56" s="167" t="s">
        <v>25</v>
      </c>
      <c r="C56" s="169">
        <v>50</v>
      </c>
      <c r="D56" s="169">
        <f>3*1.52</f>
        <v>4.5600000000000005</v>
      </c>
      <c r="E56" s="169">
        <f>3*0.16</f>
        <v>0.48</v>
      </c>
      <c r="F56" s="169">
        <v>20.6</v>
      </c>
      <c r="G56" s="162">
        <f t="shared" ref="G56" si="15">4*D56+9*E56+4*F56</f>
        <v>104.96000000000001</v>
      </c>
      <c r="H56" s="169">
        <v>5.1999999999999998E-2</v>
      </c>
      <c r="I56" s="169">
        <v>0.4</v>
      </c>
      <c r="J56" s="169">
        <v>0</v>
      </c>
      <c r="K56" s="169">
        <v>0</v>
      </c>
      <c r="L56" s="169">
        <v>0</v>
      </c>
      <c r="M56" s="169">
        <v>5.8</v>
      </c>
      <c r="N56" s="169">
        <v>9.6</v>
      </c>
      <c r="O56" s="169">
        <v>36.799999999999997</v>
      </c>
      <c r="P56" s="169">
        <v>0.44</v>
      </c>
      <c r="Q56" s="164">
        <v>27.3</v>
      </c>
      <c r="R56" s="164">
        <v>8.9999999999999993E-3</v>
      </c>
      <c r="S56" s="164">
        <v>0</v>
      </c>
      <c r="T56" s="164">
        <v>0</v>
      </c>
    </row>
    <row r="57" spans="1:20" ht="24" customHeight="1" x14ac:dyDescent="0.25">
      <c r="A57" s="225" t="s">
        <v>18</v>
      </c>
      <c r="B57" s="243"/>
      <c r="C57" s="44">
        <v>555</v>
      </c>
      <c r="D57" s="9">
        <f t="shared" ref="D57:T57" si="16">SUM(D53:D56)</f>
        <v>22.450000000000003</v>
      </c>
      <c r="E57" s="9">
        <f t="shared" si="16"/>
        <v>23.2</v>
      </c>
      <c r="F57" s="9">
        <f t="shared" si="16"/>
        <v>90.93</v>
      </c>
      <c r="G57" s="9">
        <f t="shared" si="16"/>
        <v>662.31999999999994</v>
      </c>
      <c r="H57" s="10">
        <f t="shared" si="16"/>
        <v>0.30199999999999999</v>
      </c>
      <c r="I57" s="10">
        <f t="shared" si="16"/>
        <v>16.43</v>
      </c>
      <c r="J57" s="10">
        <f t="shared" si="16"/>
        <v>179.2</v>
      </c>
      <c r="K57" s="10">
        <f t="shared" si="16"/>
        <v>0.42</v>
      </c>
      <c r="L57" s="10">
        <f t="shared" si="16"/>
        <v>0.05</v>
      </c>
      <c r="M57" s="10">
        <f t="shared" si="16"/>
        <v>206.92000000000002</v>
      </c>
      <c r="N57" s="10">
        <f t="shared" si="16"/>
        <v>104.49</v>
      </c>
      <c r="O57" s="10">
        <f t="shared" si="16"/>
        <v>228.57999999999998</v>
      </c>
      <c r="P57" s="10">
        <f t="shared" si="16"/>
        <v>3.89</v>
      </c>
      <c r="Q57" s="10">
        <f t="shared" si="16"/>
        <v>281.5</v>
      </c>
      <c r="R57" s="10">
        <f t="shared" si="16"/>
        <v>9.9999999999999985E-3</v>
      </c>
      <c r="S57" s="10">
        <f t="shared" si="16"/>
        <v>1.2999999999999999E-2</v>
      </c>
      <c r="T57" s="10">
        <f t="shared" si="16"/>
        <v>0.65</v>
      </c>
    </row>
    <row r="58" spans="1:20" ht="24" customHeight="1" x14ac:dyDescent="0.25">
      <c r="A58" s="244" t="s">
        <v>19</v>
      </c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</row>
    <row r="59" spans="1:20" ht="23.25" customHeight="1" x14ac:dyDescent="0.25">
      <c r="A59" s="51" t="s">
        <v>129</v>
      </c>
      <c r="B59" s="16" t="s">
        <v>34</v>
      </c>
      <c r="C59" s="162" t="s">
        <v>89</v>
      </c>
      <c r="D59" s="162">
        <v>11.72</v>
      </c>
      <c r="E59" s="162">
        <v>12.83</v>
      </c>
      <c r="F59" s="162">
        <v>11.57</v>
      </c>
      <c r="G59" s="162">
        <f>4*D59+9*E59+4*F59</f>
        <v>208.63</v>
      </c>
      <c r="H59" s="162">
        <v>0.05</v>
      </c>
      <c r="I59" s="162">
        <v>19.100000000000001</v>
      </c>
      <c r="J59" s="162">
        <v>95.3</v>
      </c>
      <c r="K59" s="162">
        <v>5.3999999999999999E-2</v>
      </c>
      <c r="L59" s="162">
        <v>1</v>
      </c>
      <c r="M59" s="162">
        <v>122.09</v>
      </c>
      <c r="N59" s="162">
        <v>28.9</v>
      </c>
      <c r="O59" s="162">
        <v>104.4</v>
      </c>
      <c r="P59" s="163">
        <v>1.02</v>
      </c>
      <c r="Q59" s="164">
        <v>71.2</v>
      </c>
      <c r="R59" s="164">
        <v>2E-3</v>
      </c>
      <c r="S59" s="164">
        <v>1E-3</v>
      </c>
      <c r="T59" s="164">
        <v>0.1</v>
      </c>
    </row>
    <row r="60" spans="1:20" ht="33" customHeight="1" x14ac:dyDescent="0.25">
      <c r="A60" s="165" t="s">
        <v>181</v>
      </c>
      <c r="B60" s="167" t="s">
        <v>182</v>
      </c>
      <c r="C60" s="169">
        <v>100</v>
      </c>
      <c r="D60" s="169">
        <v>12.01</v>
      </c>
      <c r="E60" s="169">
        <v>10.84</v>
      </c>
      <c r="F60" s="169">
        <v>12.79</v>
      </c>
      <c r="G60" s="162">
        <f t="shared" ref="G60" si="17">4*D60+9*E60+4*F60</f>
        <v>196.76</v>
      </c>
      <c r="H60" s="169">
        <v>0.13</v>
      </c>
      <c r="I60" s="169">
        <v>6.75</v>
      </c>
      <c r="J60" s="169">
        <v>97.6</v>
      </c>
      <c r="K60" s="169">
        <v>0</v>
      </c>
      <c r="L60" s="169">
        <v>0.35</v>
      </c>
      <c r="M60" s="169">
        <v>19.2</v>
      </c>
      <c r="N60" s="169">
        <v>3</v>
      </c>
      <c r="O60" s="169">
        <v>3.9</v>
      </c>
      <c r="P60" s="170">
        <v>0.15</v>
      </c>
      <c r="Q60" s="164">
        <v>191.2</v>
      </c>
      <c r="R60" s="164">
        <v>0.01</v>
      </c>
      <c r="S60" s="164">
        <v>6.0000000000000001E-3</v>
      </c>
      <c r="T60" s="164">
        <v>0.06</v>
      </c>
    </row>
    <row r="61" spans="1:20" x14ac:dyDescent="0.25">
      <c r="A61" s="166"/>
      <c r="B61" s="167" t="s">
        <v>249</v>
      </c>
      <c r="C61" s="169">
        <v>100</v>
      </c>
      <c r="D61" s="212">
        <v>2.6</v>
      </c>
      <c r="E61" s="212">
        <v>9.8000000000000007</v>
      </c>
      <c r="F61" s="212">
        <v>2</v>
      </c>
      <c r="G61" s="213">
        <f t="shared" ref="G61" si="18">F61*4+E61*9+D61*4</f>
        <v>106.60000000000001</v>
      </c>
      <c r="H61" s="212">
        <v>0</v>
      </c>
      <c r="I61" s="212">
        <v>0</v>
      </c>
      <c r="J61" s="212">
        <v>39</v>
      </c>
      <c r="K61" s="212">
        <v>0</v>
      </c>
      <c r="L61" s="213">
        <v>0</v>
      </c>
      <c r="M61" s="212">
        <v>10</v>
      </c>
      <c r="N61" s="212">
        <v>23.7</v>
      </c>
      <c r="O61" s="212">
        <v>53.01</v>
      </c>
      <c r="P61" s="212">
        <v>0.24</v>
      </c>
      <c r="Q61" s="212">
        <v>51.88</v>
      </c>
      <c r="R61" s="212">
        <v>2E-3</v>
      </c>
      <c r="S61" s="212">
        <v>2.0000000000000001E-4</v>
      </c>
      <c r="T61" s="212">
        <v>0.45</v>
      </c>
    </row>
    <row r="62" spans="1:20" x14ac:dyDescent="0.25">
      <c r="A62" s="166" t="s">
        <v>180</v>
      </c>
      <c r="B62" s="168" t="s">
        <v>179</v>
      </c>
      <c r="C62" s="169">
        <v>180</v>
      </c>
      <c r="D62" s="169">
        <v>7.1</v>
      </c>
      <c r="E62" s="169">
        <v>9.86</v>
      </c>
      <c r="F62" s="169">
        <v>56.76</v>
      </c>
      <c r="G62" s="162">
        <f t="shared" ref="G62" si="19">4*D62+9*E62+4*F62</f>
        <v>344.17999999999995</v>
      </c>
      <c r="H62" s="169">
        <v>0.23</v>
      </c>
      <c r="I62" s="169">
        <v>0</v>
      </c>
      <c r="J62" s="169">
        <v>78</v>
      </c>
      <c r="K62" s="169">
        <v>0.39</v>
      </c>
      <c r="L62" s="169">
        <v>3.4</v>
      </c>
      <c r="M62" s="169">
        <v>162.72999999999999</v>
      </c>
      <c r="N62" s="169">
        <v>17.5</v>
      </c>
      <c r="O62" s="169">
        <v>115.22</v>
      </c>
      <c r="P62" s="169">
        <v>5</v>
      </c>
      <c r="Q62" s="164">
        <v>114.87</v>
      </c>
      <c r="R62" s="164">
        <v>3.5999999999999999E-3</v>
      </c>
      <c r="S62" s="164">
        <v>1.4E-2</v>
      </c>
      <c r="T62" s="164">
        <v>1.01</v>
      </c>
    </row>
    <row r="63" spans="1:20" x14ac:dyDescent="0.25">
      <c r="A63" s="166"/>
      <c r="B63" s="167" t="s">
        <v>66</v>
      </c>
      <c r="C63" s="169">
        <v>200</v>
      </c>
      <c r="D63" s="169">
        <v>0</v>
      </c>
      <c r="E63" s="169">
        <v>0</v>
      </c>
      <c r="F63" s="169">
        <v>22</v>
      </c>
      <c r="G63" s="169">
        <f>F63*4+E63*9+D63*4</f>
        <v>88</v>
      </c>
      <c r="H63" s="35">
        <v>7.0000000000000007E-2</v>
      </c>
      <c r="I63" s="35">
        <v>0.01</v>
      </c>
      <c r="J63" s="35">
        <v>100</v>
      </c>
      <c r="K63" s="35">
        <v>0.09</v>
      </c>
      <c r="L63" s="35">
        <v>0</v>
      </c>
      <c r="M63" s="35">
        <v>21.48</v>
      </c>
      <c r="N63" s="35">
        <v>8.4600000000000009</v>
      </c>
      <c r="O63" s="35">
        <v>49.79</v>
      </c>
      <c r="P63" s="71">
        <v>0.66</v>
      </c>
      <c r="Q63" s="164">
        <v>24</v>
      </c>
      <c r="R63" s="164">
        <v>0</v>
      </c>
      <c r="S63" s="204">
        <v>0</v>
      </c>
      <c r="T63" s="164">
        <v>0.68</v>
      </c>
    </row>
    <row r="64" spans="1:20" x14ac:dyDescent="0.25">
      <c r="A64" s="48" t="s">
        <v>93</v>
      </c>
      <c r="B64" s="167" t="s">
        <v>25</v>
      </c>
      <c r="C64" s="169">
        <v>50</v>
      </c>
      <c r="D64" s="169">
        <v>4.5600000000000005</v>
      </c>
      <c r="E64" s="169">
        <v>0.48</v>
      </c>
      <c r="F64" s="169">
        <v>20.6</v>
      </c>
      <c r="G64" s="11">
        <v>142.91999999999999</v>
      </c>
      <c r="H64" s="169">
        <v>5.1999999999999998E-2</v>
      </c>
      <c r="I64" s="169">
        <v>0.4</v>
      </c>
      <c r="J64" s="169">
        <v>0</v>
      </c>
      <c r="K64" s="169">
        <v>0</v>
      </c>
      <c r="L64" s="169">
        <v>0</v>
      </c>
      <c r="M64" s="169">
        <v>5.8</v>
      </c>
      <c r="N64" s="169">
        <v>9.6</v>
      </c>
      <c r="O64" s="169">
        <v>36.799999999999997</v>
      </c>
      <c r="P64" s="169">
        <v>0.44</v>
      </c>
      <c r="Q64" s="164">
        <v>18.2</v>
      </c>
      <c r="R64" s="164">
        <v>6.0000000000000001E-3</v>
      </c>
      <c r="S64" s="164">
        <v>1E-3</v>
      </c>
      <c r="T64" s="164">
        <v>0</v>
      </c>
    </row>
    <row r="65" spans="1:20" x14ac:dyDescent="0.25">
      <c r="A65" s="48" t="s">
        <v>94</v>
      </c>
      <c r="B65" s="3" t="s">
        <v>27</v>
      </c>
      <c r="C65" s="169">
        <v>50</v>
      </c>
      <c r="D65" s="169">
        <v>2.64</v>
      </c>
      <c r="E65" s="169">
        <v>0.48</v>
      </c>
      <c r="F65" s="169">
        <v>16.72</v>
      </c>
      <c r="G65" s="169">
        <v>81.759999999999991</v>
      </c>
      <c r="H65" s="169">
        <v>0.03</v>
      </c>
      <c r="I65" s="169">
        <v>0</v>
      </c>
      <c r="J65" s="169">
        <v>0</v>
      </c>
      <c r="K65" s="169">
        <v>0</v>
      </c>
      <c r="L65" s="169">
        <v>0</v>
      </c>
      <c r="M65" s="169">
        <v>5.08</v>
      </c>
      <c r="N65" s="169">
        <v>4.96</v>
      </c>
      <c r="O65" s="169">
        <v>40</v>
      </c>
      <c r="P65" s="169">
        <v>0.4</v>
      </c>
      <c r="Q65" s="164">
        <v>16.2</v>
      </c>
      <c r="R65" s="164">
        <v>6.0000000000000001E-3</v>
      </c>
      <c r="S65" s="164">
        <v>1E-3</v>
      </c>
      <c r="T65" s="164">
        <v>0</v>
      </c>
    </row>
    <row r="66" spans="1:20" ht="24" customHeight="1" x14ac:dyDescent="0.25">
      <c r="A66" s="269" t="s">
        <v>18</v>
      </c>
      <c r="B66" s="281"/>
      <c r="C66" s="173">
        <f>SUM(C60:C65)+250+20</f>
        <v>950</v>
      </c>
      <c r="D66" s="4">
        <f>D59+D60+D61+D63+D64+D65</f>
        <v>33.53</v>
      </c>
      <c r="E66" s="4">
        <f t="shared" ref="E66:T66" si="20">SUM(E59:E65)</f>
        <v>44.289999999999992</v>
      </c>
      <c r="F66" s="4">
        <f t="shared" si="20"/>
        <v>142.44</v>
      </c>
      <c r="G66" s="4">
        <f t="shared" si="20"/>
        <v>1168.8499999999999</v>
      </c>
      <c r="H66" s="5">
        <f t="shared" si="20"/>
        <v>0.56200000000000006</v>
      </c>
      <c r="I66" s="5">
        <f t="shared" si="20"/>
        <v>26.26</v>
      </c>
      <c r="J66" s="5">
        <f t="shared" si="20"/>
        <v>409.9</v>
      </c>
      <c r="K66" s="5">
        <f t="shared" si="20"/>
        <v>0.53400000000000003</v>
      </c>
      <c r="L66" s="5">
        <f t="shared" si="20"/>
        <v>4.75</v>
      </c>
      <c r="M66" s="5">
        <f t="shared" si="20"/>
        <v>346.38</v>
      </c>
      <c r="N66" s="5">
        <f t="shared" si="20"/>
        <v>96.11999999999999</v>
      </c>
      <c r="O66" s="5">
        <f t="shared" si="20"/>
        <v>403.12</v>
      </c>
      <c r="P66" s="5">
        <f t="shared" si="20"/>
        <v>7.910000000000001</v>
      </c>
      <c r="Q66" s="5">
        <f t="shared" si="20"/>
        <v>487.54999999999995</v>
      </c>
      <c r="R66" s="5">
        <f t="shared" si="20"/>
        <v>2.9600000000000001E-2</v>
      </c>
      <c r="S66" s="5">
        <f t="shared" si="20"/>
        <v>2.3200000000000002E-2</v>
      </c>
      <c r="T66" s="5">
        <f t="shared" si="20"/>
        <v>2.3000000000000003</v>
      </c>
    </row>
    <row r="67" spans="1:20" ht="24" customHeight="1" x14ac:dyDescent="0.25">
      <c r="A67" s="280" t="s">
        <v>40</v>
      </c>
      <c r="B67" s="280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</row>
    <row r="68" spans="1:20" ht="34.5" customHeight="1" x14ac:dyDescent="0.25">
      <c r="A68" s="50" t="s">
        <v>108</v>
      </c>
      <c r="B68" s="167" t="s">
        <v>33</v>
      </c>
      <c r="C68" s="169" t="s">
        <v>59</v>
      </c>
      <c r="D68" s="2">
        <v>6.34</v>
      </c>
      <c r="E68" s="2">
        <v>5.4</v>
      </c>
      <c r="F68" s="2">
        <v>24.3</v>
      </c>
      <c r="G68" s="2">
        <f>F68*4+E68*9+D68*4</f>
        <v>171.16000000000003</v>
      </c>
      <c r="H68" s="169">
        <v>0.12</v>
      </c>
      <c r="I68" s="169">
        <v>3.2</v>
      </c>
      <c r="J68" s="169">
        <v>111.2</v>
      </c>
      <c r="K68" s="169">
        <v>5.6500000000000002E-2</v>
      </c>
      <c r="L68" s="169">
        <v>3.72</v>
      </c>
      <c r="M68" s="169">
        <v>87.09</v>
      </c>
      <c r="N68" s="169">
        <v>26.85</v>
      </c>
      <c r="O68" s="169">
        <v>98.25</v>
      </c>
      <c r="P68" s="169">
        <v>0.35199999999999998</v>
      </c>
      <c r="Q68" s="164">
        <v>87</v>
      </c>
      <c r="R68" s="164">
        <v>8.0000000000000002E-3</v>
      </c>
      <c r="S68" s="164">
        <v>2E-3</v>
      </c>
      <c r="T68" s="164">
        <v>0.3</v>
      </c>
    </row>
    <row r="69" spans="1:20" x14ac:dyDescent="0.25">
      <c r="A69" s="53" t="s">
        <v>118</v>
      </c>
      <c r="B69" s="167" t="s">
        <v>42</v>
      </c>
      <c r="C69" s="169">
        <v>200</v>
      </c>
      <c r="D69" s="169">
        <v>5.6</v>
      </c>
      <c r="E69" s="169">
        <v>5</v>
      </c>
      <c r="F69" s="169">
        <v>18.989999999999998</v>
      </c>
      <c r="G69" s="169">
        <v>145.63999999999999</v>
      </c>
      <c r="H69" s="169">
        <v>0.06</v>
      </c>
      <c r="I69" s="169">
        <v>0.02</v>
      </c>
      <c r="J69" s="169">
        <v>24.6</v>
      </c>
      <c r="K69" s="169">
        <v>0.14499999999999999</v>
      </c>
      <c r="L69" s="169">
        <v>0</v>
      </c>
      <c r="M69" s="169">
        <v>248</v>
      </c>
      <c r="N69" s="169">
        <v>10</v>
      </c>
      <c r="O69" s="169">
        <v>190</v>
      </c>
      <c r="P69" s="170">
        <v>0.2</v>
      </c>
      <c r="Q69" s="164">
        <v>74</v>
      </c>
      <c r="R69" s="164">
        <v>0</v>
      </c>
      <c r="S69" s="164">
        <v>0</v>
      </c>
      <c r="T69" s="164">
        <v>0</v>
      </c>
    </row>
    <row r="70" spans="1:20" x14ac:dyDescent="0.25">
      <c r="A70" s="48"/>
      <c r="B70" s="18" t="s">
        <v>184</v>
      </c>
      <c r="C70" s="162">
        <v>65</v>
      </c>
      <c r="D70" s="162">
        <v>2.9</v>
      </c>
      <c r="E70" s="162">
        <v>2.1</v>
      </c>
      <c r="F70" s="162">
        <v>11.34</v>
      </c>
      <c r="G70" s="169">
        <f>(9*E70)+4*(F70+D70)</f>
        <v>75.86</v>
      </c>
      <c r="H70" s="172">
        <v>0.03</v>
      </c>
      <c r="I70" s="172">
        <v>10</v>
      </c>
      <c r="J70" s="172">
        <v>0.03</v>
      </c>
      <c r="K70" s="172">
        <v>0.02</v>
      </c>
      <c r="L70" s="172">
        <v>0</v>
      </c>
      <c r="M70" s="172">
        <v>9.5</v>
      </c>
      <c r="N70" s="172">
        <v>7</v>
      </c>
      <c r="O70" s="172">
        <v>9.5</v>
      </c>
      <c r="P70" s="171">
        <v>1.2</v>
      </c>
      <c r="Q70" s="164">
        <v>0.4</v>
      </c>
      <c r="R70" s="164">
        <v>1.7000000000000001E-2</v>
      </c>
      <c r="S70" s="164">
        <v>0</v>
      </c>
      <c r="T70" s="164">
        <v>0.06</v>
      </c>
    </row>
    <row r="71" spans="1:20" ht="24" customHeight="1" x14ac:dyDescent="0.25">
      <c r="A71" s="225" t="s">
        <v>18</v>
      </c>
      <c r="B71" s="266"/>
      <c r="C71" s="119">
        <v>385</v>
      </c>
      <c r="D71" s="4">
        <f t="shared" ref="D71:I71" si="21">SUM(D68:D70)</f>
        <v>14.84</v>
      </c>
      <c r="E71" s="4">
        <f t="shared" si="21"/>
        <v>12.5</v>
      </c>
      <c r="F71" s="4">
        <f t="shared" si="21"/>
        <v>54.629999999999995</v>
      </c>
      <c r="G71" s="4">
        <f t="shared" si="21"/>
        <v>392.66</v>
      </c>
      <c r="H71" s="13">
        <f t="shared" si="21"/>
        <v>0.21</v>
      </c>
      <c r="I71" s="173">
        <f t="shared" si="21"/>
        <v>13.22</v>
      </c>
      <c r="J71" s="173">
        <f t="shared" ref="J71:T71" si="22">SUM(J68:J70)</f>
        <v>135.83000000000001</v>
      </c>
      <c r="K71" s="173">
        <f t="shared" si="22"/>
        <v>0.22149999999999997</v>
      </c>
      <c r="L71" s="173">
        <f t="shared" si="22"/>
        <v>3.72</v>
      </c>
      <c r="M71" s="173">
        <f t="shared" si="22"/>
        <v>344.59000000000003</v>
      </c>
      <c r="N71" s="173">
        <f t="shared" si="22"/>
        <v>43.85</v>
      </c>
      <c r="O71" s="173">
        <f t="shared" si="22"/>
        <v>297.75</v>
      </c>
      <c r="P71" s="173">
        <f t="shared" si="22"/>
        <v>1.752</v>
      </c>
      <c r="Q71" s="173">
        <f t="shared" si="22"/>
        <v>161.4</v>
      </c>
      <c r="R71" s="173">
        <f t="shared" si="22"/>
        <v>2.5000000000000001E-2</v>
      </c>
      <c r="S71" s="173">
        <f t="shared" si="22"/>
        <v>2E-3</v>
      </c>
      <c r="T71" s="173">
        <f t="shared" si="22"/>
        <v>0.36</v>
      </c>
    </row>
    <row r="72" spans="1:20" ht="24" customHeight="1" x14ac:dyDescent="0.25">
      <c r="A72" s="244" t="s">
        <v>20</v>
      </c>
      <c r="B72" s="245"/>
      <c r="C72" s="119">
        <f>+C57+C66+C71</f>
        <v>1890</v>
      </c>
      <c r="D72" s="4">
        <f t="shared" ref="D72:T72" si="23">D57+D66+D71</f>
        <v>70.820000000000007</v>
      </c>
      <c r="E72" s="4">
        <f t="shared" si="23"/>
        <v>79.989999999999995</v>
      </c>
      <c r="F72" s="4">
        <f t="shared" si="23"/>
        <v>288</v>
      </c>
      <c r="G72" s="9">
        <f t="shared" si="23"/>
        <v>2223.83</v>
      </c>
      <c r="H72" s="13">
        <f t="shared" si="23"/>
        <v>1.0740000000000001</v>
      </c>
      <c r="I72" s="91">
        <f>I57+I66+I71</f>
        <v>55.91</v>
      </c>
      <c r="J72" s="13">
        <f t="shared" si="23"/>
        <v>724.93</v>
      </c>
      <c r="K72" s="13">
        <f t="shared" si="23"/>
        <v>1.1755</v>
      </c>
      <c r="L72" s="13">
        <f t="shared" si="23"/>
        <v>8.52</v>
      </c>
      <c r="M72" s="13">
        <f t="shared" si="23"/>
        <v>897.89</v>
      </c>
      <c r="N72" s="13">
        <f t="shared" si="23"/>
        <v>244.45999999999998</v>
      </c>
      <c r="O72" s="13">
        <f t="shared" si="23"/>
        <v>929.45</v>
      </c>
      <c r="P72" s="13">
        <f t="shared" si="23"/>
        <v>13.552000000000001</v>
      </c>
      <c r="Q72" s="13">
        <f t="shared" si="23"/>
        <v>930.44999999999993</v>
      </c>
      <c r="R72" s="13">
        <f t="shared" si="23"/>
        <v>6.4599999999999991E-2</v>
      </c>
      <c r="S72" s="205">
        <f t="shared" si="23"/>
        <v>3.8200000000000005E-2</v>
      </c>
      <c r="T72" s="13">
        <f t="shared" si="23"/>
        <v>3.31</v>
      </c>
    </row>
    <row r="73" spans="1:20" ht="24" customHeight="1" x14ac:dyDescent="0.25">
      <c r="A73" s="278" t="s">
        <v>46</v>
      </c>
      <c r="B73" s="278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</row>
    <row r="74" spans="1:20" ht="24" customHeight="1" x14ac:dyDescent="0.25">
      <c r="A74" s="244" t="s">
        <v>17</v>
      </c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</row>
    <row r="75" spans="1:20" ht="33.75" customHeight="1" x14ac:dyDescent="0.25">
      <c r="A75" s="166" t="s">
        <v>101</v>
      </c>
      <c r="B75" s="167" t="s">
        <v>190</v>
      </c>
      <c r="C75" s="169" t="s">
        <v>91</v>
      </c>
      <c r="D75" s="169">
        <v>11.83</v>
      </c>
      <c r="E75" s="2">
        <v>15.04</v>
      </c>
      <c r="F75" s="169">
        <v>52.7</v>
      </c>
      <c r="G75" s="169">
        <f t="shared" ref="G75:G76" si="24">(9*E75)+4*(F75+D75)</f>
        <v>393.48</v>
      </c>
      <c r="H75" s="169">
        <v>0.32</v>
      </c>
      <c r="I75" s="169">
        <v>0.06</v>
      </c>
      <c r="J75" s="169">
        <v>177.8</v>
      </c>
      <c r="K75" s="169">
        <v>0.08</v>
      </c>
      <c r="L75" s="169">
        <v>0</v>
      </c>
      <c r="M75" s="169">
        <v>159.12</v>
      </c>
      <c r="N75" s="169">
        <v>53.22</v>
      </c>
      <c r="O75" s="169">
        <v>197.54</v>
      </c>
      <c r="P75" s="169">
        <v>2.42</v>
      </c>
      <c r="Q75" s="164">
        <v>119</v>
      </c>
      <c r="R75" s="164">
        <v>1E-3</v>
      </c>
      <c r="S75" s="164">
        <v>3.0000000000000001E-3</v>
      </c>
      <c r="T75" s="164">
        <v>0</v>
      </c>
    </row>
    <row r="76" spans="1:20" ht="34.15" customHeight="1" x14ac:dyDescent="0.25">
      <c r="A76" s="122"/>
      <c r="B76" s="167" t="s">
        <v>192</v>
      </c>
      <c r="C76" s="169">
        <v>30</v>
      </c>
      <c r="D76" s="169">
        <v>2.2000000000000002</v>
      </c>
      <c r="E76" s="169">
        <v>0.7</v>
      </c>
      <c r="F76" s="169">
        <v>12.6</v>
      </c>
      <c r="G76" s="169">
        <f t="shared" si="24"/>
        <v>65.5</v>
      </c>
      <c r="H76" s="169">
        <v>0.03</v>
      </c>
      <c r="I76" s="169">
        <v>8.4</v>
      </c>
      <c r="J76" s="169">
        <v>50</v>
      </c>
      <c r="K76" s="169">
        <v>0</v>
      </c>
      <c r="L76" s="169">
        <v>2.41</v>
      </c>
      <c r="M76" s="169">
        <v>94.7</v>
      </c>
      <c r="N76" s="169">
        <v>16</v>
      </c>
      <c r="O76" s="169">
        <v>91.3</v>
      </c>
      <c r="P76" s="170">
        <v>0.08</v>
      </c>
      <c r="Q76" s="164">
        <v>77.400000000000006</v>
      </c>
      <c r="R76" s="164">
        <v>1.2E-2</v>
      </c>
      <c r="S76" s="164">
        <v>7.0000000000000001E-3</v>
      </c>
      <c r="T76" s="164">
        <v>0.55000000000000004</v>
      </c>
    </row>
    <row r="77" spans="1:20" ht="24" customHeight="1" x14ac:dyDescent="0.25">
      <c r="A77" s="123" t="s">
        <v>75</v>
      </c>
      <c r="B77" s="148" t="s">
        <v>160</v>
      </c>
      <c r="C77" s="127" t="s">
        <v>56</v>
      </c>
      <c r="D77" s="127">
        <v>0</v>
      </c>
      <c r="E77" s="127">
        <v>0</v>
      </c>
      <c r="F77" s="127">
        <v>9.98</v>
      </c>
      <c r="G77" s="127">
        <f>(9*E77)+4*(F77+D77)</f>
        <v>39.92</v>
      </c>
      <c r="H77" s="127">
        <v>0</v>
      </c>
      <c r="I77" s="127">
        <v>0.1</v>
      </c>
      <c r="J77" s="127">
        <v>0</v>
      </c>
      <c r="K77" s="127">
        <v>0</v>
      </c>
      <c r="L77" s="127">
        <v>0</v>
      </c>
      <c r="M77" s="127">
        <v>12</v>
      </c>
      <c r="N77" s="127">
        <v>4.4000000000000004</v>
      </c>
      <c r="O77" s="127">
        <v>8.24</v>
      </c>
      <c r="P77" s="127">
        <v>0.86</v>
      </c>
      <c r="Q77" s="120">
        <v>24</v>
      </c>
      <c r="R77" s="120">
        <v>0</v>
      </c>
      <c r="S77" s="120">
        <v>0</v>
      </c>
      <c r="T77" s="120">
        <v>0.2</v>
      </c>
    </row>
    <row r="78" spans="1:20" x14ac:dyDescent="0.25">
      <c r="A78" s="48" t="s">
        <v>93</v>
      </c>
      <c r="B78" s="124" t="s">
        <v>25</v>
      </c>
      <c r="C78" s="127">
        <v>50</v>
      </c>
      <c r="D78" s="127">
        <f>2*1.52</f>
        <v>3.04</v>
      </c>
      <c r="E78" s="127">
        <f>2*0.16</f>
        <v>0.32</v>
      </c>
      <c r="F78" s="127">
        <f>2*10.03</f>
        <v>20.059999999999999</v>
      </c>
      <c r="G78" s="169">
        <f t="shared" ref="G78:G79" si="25">(9*E78)+4*(F78+D78)</f>
        <v>95.279999999999987</v>
      </c>
      <c r="H78" s="127">
        <v>5.1999999999999998E-2</v>
      </c>
      <c r="I78" s="127">
        <v>0.4</v>
      </c>
      <c r="J78" s="127">
        <v>0</v>
      </c>
      <c r="K78" s="127">
        <v>0</v>
      </c>
      <c r="L78" s="127">
        <v>0</v>
      </c>
      <c r="M78" s="127">
        <v>22.5</v>
      </c>
      <c r="N78" s="127">
        <v>9.6</v>
      </c>
      <c r="O78" s="127">
        <v>36.799999999999997</v>
      </c>
      <c r="P78" s="127">
        <v>0.44</v>
      </c>
      <c r="Q78" s="120">
        <v>27.3</v>
      </c>
      <c r="R78" s="120">
        <v>8.9999999999999993E-3</v>
      </c>
      <c r="S78" s="120">
        <v>0</v>
      </c>
      <c r="T78" s="120">
        <v>0</v>
      </c>
    </row>
    <row r="79" spans="1:20" ht="24" customHeight="1" x14ac:dyDescent="0.25">
      <c r="A79" s="122" t="s">
        <v>112</v>
      </c>
      <c r="B79" s="124" t="s">
        <v>86</v>
      </c>
      <c r="C79" s="127">
        <v>40</v>
      </c>
      <c r="D79" s="127">
        <v>6.35</v>
      </c>
      <c r="E79" s="127">
        <v>5.75</v>
      </c>
      <c r="F79" s="127">
        <v>0.35</v>
      </c>
      <c r="G79" s="169">
        <f t="shared" si="25"/>
        <v>78.55</v>
      </c>
      <c r="H79" s="128">
        <v>0</v>
      </c>
      <c r="I79" s="128">
        <v>7</v>
      </c>
      <c r="J79" s="128">
        <v>0</v>
      </c>
      <c r="K79" s="128">
        <v>0.17899999999999999</v>
      </c>
      <c r="L79" s="128">
        <v>0.1</v>
      </c>
      <c r="M79" s="128">
        <v>19.760000000000002</v>
      </c>
      <c r="N79" s="128">
        <v>0.6</v>
      </c>
      <c r="O79" s="128">
        <v>25.9</v>
      </c>
      <c r="P79" s="128">
        <v>0.7</v>
      </c>
      <c r="Q79" s="120">
        <v>46.48</v>
      </c>
      <c r="R79" s="120">
        <v>7.0000000000000001E-3</v>
      </c>
      <c r="S79" s="120">
        <v>1E-3</v>
      </c>
      <c r="T79" s="120">
        <v>0.19</v>
      </c>
    </row>
    <row r="80" spans="1:20" ht="24" customHeight="1" x14ac:dyDescent="0.25">
      <c r="A80" s="244" t="s">
        <v>18</v>
      </c>
      <c r="B80" s="245"/>
      <c r="C80" s="44">
        <v>560</v>
      </c>
      <c r="D80" s="9">
        <f>SUM(D75:D79)</f>
        <v>23.42</v>
      </c>
      <c r="E80" s="9">
        <f>SUM(E75:E79)</f>
        <v>21.81</v>
      </c>
      <c r="F80" s="9">
        <f>SUM(F75:F79)</f>
        <v>95.69</v>
      </c>
      <c r="G80" s="9">
        <f>SUM(G75:G79)</f>
        <v>672.73</v>
      </c>
      <c r="H80" s="10">
        <f>SUM(H75:H79)</f>
        <v>0.40199999999999997</v>
      </c>
      <c r="I80" s="10">
        <f t="shared" ref="I80:T80" si="26">SUM(I75:I79)</f>
        <v>15.96</v>
      </c>
      <c r="J80" s="10">
        <f t="shared" si="26"/>
        <v>227.8</v>
      </c>
      <c r="K80" s="10">
        <f t="shared" si="26"/>
        <v>0.25900000000000001</v>
      </c>
      <c r="L80" s="10">
        <f t="shared" si="26"/>
        <v>2.5100000000000002</v>
      </c>
      <c r="M80" s="10">
        <f t="shared" si="26"/>
        <v>308.08</v>
      </c>
      <c r="N80" s="10">
        <f t="shared" si="26"/>
        <v>83.82</v>
      </c>
      <c r="O80" s="10">
        <f t="shared" si="26"/>
        <v>359.78</v>
      </c>
      <c r="P80" s="10">
        <f t="shared" si="26"/>
        <v>4.5</v>
      </c>
      <c r="Q80" s="10">
        <f t="shared" si="26"/>
        <v>294.18</v>
      </c>
      <c r="R80" s="10">
        <f t="shared" si="26"/>
        <v>2.8999999999999998E-2</v>
      </c>
      <c r="S80" s="10">
        <f t="shared" si="26"/>
        <v>1.0999999999999999E-2</v>
      </c>
      <c r="T80" s="10">
        <f t="shared" si="26"/>
        <v>0.94</v>
      </c>
    </row>
    <row r="81" spans="1:20" ht="24" customHeight="1" x14ac:dyDescent="0.25">
      <c r="A81" s="244" t="s">
        <v>19</v>
      </c>
      <c r="B81" s="244"/>
      <c r="C81" s="244"/>
      <c r="D81" s="244"/>
      <c r="E81" s="244"/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  <c r="T81" s="244"/>
    </row>
    <row r="82" spans="1:20" ht="41.45" customHeight="1" x14ac:dyDescent="0.25">
      <c r="A82" s="165" t="s">
        <v>185</v>
      </c>
      <c r="B82" s="167" t="s">
        <v>186</v>
      </c>
      <c r="C82" s="169">
        <v>250</v>
      </c>
      <c r="D82" s="169">
        <v>7.04</v>
      </c>
      <c r="E82" s="169">
        <v>4.3</v>
      </c>
      <c r="F82" s="169">
        <v>17.38</v>
      </c>
      <c r="G82" s="169">
        <f>D82*4+E82*9+F82*4</f>
        <v>136.38</v>
      </c>
      <c r="H82" s="169">
        <v>0.13</v>
      </c>
      <c r="I82" s="169">
        <v>8.8000000000000007</v>
      </c>
      <c r="J82" s="169">
        <v>3.4</v>
      </c>
      <c r="K82" s="169">
        <v>0.08</v>
      </c>
      <c r="L82" s="169">
        <v>2.27</v>
      </c>
      <c r="M82" s="169">
        <v>118.8</v>
      </c>
      <c r="N82" s="169">
        <v>38.9</v>
      </c>
      <c r="O82" s="169">
        <v>99.87</v>
      </c>
      <c r="P82" s="169">
        <v>1.02</v>
      </c>
      <c r="Q82" s="164">
        <v>84.66</v>
      </c>
      <c r="R82" s="164">
        <v>3.0000000000000001E-3</v>
      </c>
      <c r="S82" s="164">
        <v>6.0000000000000001E-3</v>
      </c>
      <c r="T82" s="164">
        <v>1.64</v>
      </c>
    </row>
    <row r="83" spans="1:20" x14ac:dyDescent="0.25">
      <c r="A83" s="48" t="s">
        <v>187</v>
      </c>
      <c r="B83" s="167" t="s">
        <v>37</v>
      </c>
      <c r="C83" s="169">
        <v>180</v>
      </c>
      <c r="D83" s="169">
        <v>12.41</v>
      </c>
      <c r="E83" s="169">
        <v>19.02</v>
      </c>
      <c r="F83" s="169">
        <v>13.1</v>
      </c>
      <c r="G83" s="11">
        <f>(9*E83)+4*(F83+D83)</f>
        <v>273.22000000000003</v>
      </c>
      <c r="H83" s="169">
        <v>0.1</v>
      </c>
      <c r="I83" s="169">
        <v>13.75</v>
      </c>
      <c r="J83" s="169">
        <v>184</v>
      </c>
      <c r="K83" s="169">
        <v>1.2E-2</v>
      </c>
      <c r="L83" s="169">
        <v>0</v>
      </c>
      <c r="M83" s="169">
        <v>121.83</v>
      </c>
      <c r="N83" s="169">
        <v>18.22</v>
      </c>
      <c r="O83" s="169">
        <v>49.9</v>
      </c>
      <c r="P83" s="169">
        <v>1.7</v>
      </c>
      <c r="Q83" s="164">
        <v>68.400000000000006</v>
      </c>
      <c r="R83" s="164">
        <v>0</v>
      </c>
      <c r="S83" s="164">
        <v>0</v>
      </c>
      <c r="T83" s="164">
        <v>0</v>
      </c>
    </row>
    <row r="84" spans="1:20" x14ac:dyDescent="0.25">
      <c r="A84" s="48" t="s">
        <v>130</v>
      </c>
      <c r="B84" s="167" t="s">
        <v>188</v>
      </c>
      <c r="C84" s="169">
        <v>100</v>
      </c>
      <c r="D84" s="169">
        <v>8.6999999999999993</v>
      </c>
      <c r="E84" s="169">
        <v>1.02</v>
      </c>
      <c r="F84" s="169">
        <v>1.02</v>
      </c>
      <c r="G84" s="169">
        <f>4*D84+9*E84+4*F84</f>
        <v>48.059999999999995</v>
      </c>
      <c r="H84" s="169">
        <v>0.09</v>
      </c>
      <c r="I84" s="169">
        <v>0.8</v>
      </c>
      <c r="J84" s="169">
        <v>143</v>
      </c>
      <c r="K84" s="169">
        <v>0.112</v>
      </c>
      <c r="L84" s="169">
        <v>1.8</v>
      </c>
      <c r="M84" s="169">
        <v>86.9</v>
      </c>
      <c r="N84" s="169">
        <v>19.600000000000001</v>
      </c>
      <c r="O84" s="7">
        <v>113.4</v>
      </c>
      <c r="P84" s="169">
        <v>2.2320000000000002</v>
      </c>
      <c r="Q84" s="164">
        <v>106.4</v>
      </c>
      <c r="R84" s="164">
        <v>2E-3</v>
      </c>
      <c r="S84" s="164">
        <v>0.01</v>
      </c>
      <c r="T84" s="164">
        <v>0.01</v>
      </c>
    </row>
    <row r="85" spans="1:20" x14ac:dyDescent="0.25">
      <c r="A85" s="166" t="s">
        <v>113</v>
      </c>
      <c r="B85" s="168" t="s">
        <v>29</v>
      </c>
      <c r="C85" s="169">
        <v>25</v>
      </c>
      <c r="D85" s="169">
        <v>4.0999999999999996</v>
      </c>
      <c r="E85" s="169">
        <v>11.27</v>
      </c>
      <c r="F85" s="169">
        <v>51.76</v>
      </c>
      <c r="G85" s="169">
        <f t="shared" ref="G85" si="27">4*D85+9*E85+4*F85</f>
        <v>324.87</v>
      </c>
      <c r="H85" s="169">
        <v>0.04</v>
      </c>
      <c r="I85" s="169">
        <v>0</v>
      </c>
      <c r="J85" s="169">
        <v>7.0000000000000007E-2</v>
      </c>
      <c r="K85" s="169">
        <v>0.39</v>
      </c>
      <c r="L85" s="169">
        <v>1.2E-2</v>
      </c>
      <c r="M85" s="169">
        <v>62.73</v>
      </c>
      <c r="N85" s="169">
        <v>27.5</v>
      </c>
      <c r="O85" s="169">
        <v>45.62</v>
      </c>
      <c r="P85" s="169">
        <v>0.83</v>
      </c>
      <c r="Q85" s="164">
        <v>84.7</v>
      </c>
      <c r="R85" s="164">
        <v>3.5999999999999999E-3</v>
      </c>
      <c r="S85" s="164">
        <v>8.9999999999999993E-3</v>
      </c>
      <c r="T85" s="164">
        <v>0</v>
      </c>
    </row>
    <row r="86" spans="1:20" x14ac:dyDescent="0.25">
      <c r="A86" s="174" t="s">
        <v>189</v>
      </c>
      <c r="B86" s="1" t="s">
        <v>70</v>
      </c>
      <c r="C86" s="175">
        <v>200</v>
      </c>
      <c r="D86" s="175">
        <f>0.22*2</f>
        <v>0.44</v>
      </c>
      <c r="E86" s="175">
        <f>0.02*2</f>
        <v>0.04</v>
      </c>
      <c r="F86" s="175">
        <f>8.99*2</f>
        <v>17.98</v>
      </c>
      <c r="G86" s="176">
        <f>37.02*2</f>
        <v>74.040000000000006</v>
      </c>
      <c r="H86" s="175">
        <v>0</v>
      </c>
      <c r="I86" s="175">
        <v>0.1</v>
      </c>
      <c r="J86" s="175">
        <v>0.1</v>
      </c>
      <c r="K86" s="175">
        <v>0</v>
      </c>
      <c r="L86" s="175">
        <v>0</v>
      </c>
      <c r="M86" s="175">
        <v>25.25</v>
      </c>
      <c r="N86" s="175">
        <v>4.4000000000000004</v>
      </c>
      <c r="O86" s="175">
        <v>8.24</v>
      </c>
      <c r="P86" s="175">
        <v>0.86</v>
      </c>
      <c r="Q86" s="178">
        <v>68</v>
      </c>
      <c r="R86" s="178">
        <v>1.5E-3</v>
      </c>
      <c r="S86" s="178">
        <v>0</v>
      </c>
      <c r="T86" s="178">
        <v>0</v>
      </c>
    </row>
    <row r="87" spans="1:20" x14ac:dyDescent="0.25">
      <c r="A87" s="48" t="s">
        <v>93</v>
      </c>
      <c r="B87" s="124" t="s">
        <v>25</v>
      </c>
      <c r="C87" s="127">
        <v>50</v>
      </c>
      <c r="D87" s="127">
        <v>3.04</v>
      </c>
      <c r="E87" s="127">
        <v>0.32</v>
      </c>
      <c r="F87" s="127">
        <v>20.059999999999999</v>
      </c>
      <c r="G87" s="169">
        <f t="shared" ref="G87:G88" si="28">D87*4+E87*9+F87*4</f>
        <v>95.28</v>
      </c>
      <c r="H87" s="127">
        <v>5.1999999999999998E-2</v>
      </c>
      <c r="I87" s="127">
        <v>0.4</v>
      </c>
      <c r="J87" s="127">
        <v>0</v>
      </c>
      <c r="K87" s="127">
        <v>0</v>
      </c>
      <c r="L87" s="127">
        <v>0</v>
      </c>
      <c r="M87" s="127">
        <v>5.8</v>
      </c>
      <c r="N87" s="127">
        <v>9.6</v>
      </c>
      <c r="O87" s="127">
        <v>36.799999999999997</v>
      </c>
      <c r="P87" s="127">
        <v>0.44</v>
      </c>
      <c r="Q87" s="120">
        <v>37.200000000000003</v>
      </c>
      <c r="R87" s="120">
        <v>1.2E-2</v>
      </c>
      <c r="S87" s="120">
        <v>2E-3</v>
      </c>
      <c r="T87" s="120">
        <v>0</v>
      </c>
    </row>
    <row r="88" spans="1:20" x14ac:dyDescent="0.25">
      <c r="A88" s="48" t="s">
        <v>94</v>
      </c>
      <c r="B88" s="3" t="s">
        <v>27</v>
      </c>
      <c r="C88" s="127">
        <v>50</v>
      </c>
      <c r="D88" s="127">
        <f>2*1.32</f>
        <v>2.64</v>
      </c>
      <c r="E88" s="127">
        <f>2*0.24</f>
        <v>0.48</v>
      </c>
      <c r="F88" s="127">
        <f>2*8.36</f>
        <v>16.72</v>
      </c>
      <c r="G88" s="169">
        <f t="shared" si="28"/>
        <v>81.759999999999991</v>
      </c>
      <c r="H88" s="127">
        <v>0.03</v>
      </c>
      <c r="I88" s="127">
        <v>0</v>
      </c>
      <c r="J88" s="127">
        <v>0</v>
      </c>
      <c r="K88" s="127">
        <v>0</v>
      </c>
      <c r="L88" s="127">
        <v>0</v>
      </c>
      <c r="M88" s="127">
        <v>5.08</v>
      </c>
      <c r="N88" s="127">
        <v>4.96</v>
      </c>
      <c r="O88" s="127">
        <v>40</v>
      </c>
      <c r="P88" s="127">
        <v>0.4</v>
      </c>
      <c r="Q88" s="120">
        <v>32.4</v>
      </c>
      <c r="R88" s="120">
        <v>1.2E-2</v>
      </c>
      <c r="S88" s="120">
        <v>2E-3</v>
      </c>
      <c r="T88" s="120">
        <v>0</v>
      </c>
    </row>
    <row r="89" spans="1:20" x14ac:dyDescent="0.25">
      <c r="A89" s="225" t="s">
        <v>18</v>
      </c>
      <c r="B89" s="266"/>
      <c r="C89" s="119">
        <v>805</v>
      </c>
      <c r="D89" s="4">
        <f>SUM(D82:D88)</f>
        <v>38.369999999999997</v>
      </c>
      <c r="E89" s="4">
        <f t="shared" ref="E89:G89" si="29">SUM(E82:E88)</f>
        <v>36.449999999999996</v>
      </c>
      <c r="F89" s="4">
        <f t="shared" si="29"/>
        <v>138.01999999999998</v>
      </c>
      <c r="G89" s="4">
        <f t="shared" si="29"/>
        <v>1033.6099999999999</v>
      </c>
      <c r="H89" s="5">
        <f>SUM(H82:H88)</f>
        <v>0.44199999999999995</v>
      </c>
      <c r="I89" s="5">
        <f t="shared" ref="I89:T89" si="30">SUM(I82:I88)</f>
        <v>23.85</v>
      </c>
      <c r="J89" s="5">
        <f t="shared" si="30"/>
        <v>330.57</v>
      </c>
      <c r="K89" s="5">
        <f t="shared" si="30"/>
        <v>0.59400000000000008</v>
      </c>
      <c r="L89" s="5">
        <f t="shared" si="30"/>
        <v>4.0819999999999999</v>
      </c>
      <c r="M89" s="5">
        <f t="shared" si="30"/>
        <v>426.39</v>
      </c>
      <c r="N89" s="5">
        <f t="shared" si="30"/>
        <v>123.17999999999999</v>
      </c>
      <c r="O89" s="5">
        <f t="shared" si="30"/>
        <v>393.83000000000004</v>
      </c>
      <c r="P89" s="5">
        <f t="shared" si="30"/>
        <v>7.4820000000000011</v>
      </c>
      <c r="Q89" s="5">
        <f t="shared" si="30"/>
        <v>481.76</v>
      </c>
      <c r="R89" s="5">
        <f t="shared" si="30"/>
        <v>3.4100000000000005E-2</v>
      </c>
      <c r="S89" s="5">
        <f t="shared" si="30"/>
        <v>2.9000000000000005E-2</v>
      </c>
      <c r="T89" s="5">
        <f t="shared" si="30"/>
        <v>1.65</v>
      </c>
    </row>
    <row r="90" spans="1:20" x14ac:dyDescent="0.25">
      <c r="A90" s="244" t="s">
        <v>40</v>
      </c>
      <c r="B90" s="244"/>
      <c r="C90" s="244"/>
      <c r="D90" s="244"/>
      <c r="E90" s="244"/>
      <c r="F90" s="244"/>
      <c r="G90" s="244"/>
      <c r="H90" s="244"/>
      <c r="I90" s="244"/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</row>
    <row r="91" spans="1:20" ht="23.25" customHeight="1" x14ac:dyDescent="0.25">
      <c r="A91" s="47" t="s">
        <v>193</v>
      </c>
      <c r="B91" s="1" t="s">
        <v>194</v>
      </c>
      <c r="C91" s="175">
        <v>200</v>
      </c>
      <c r="D91" s="175">
        <v>1.4</v>
      </c>
      <c r="E91" s="175">
        <v>0</v>
      </c>
      <c r="F91" s="175">
        <f>11.75*2</f>
        <v>23.5</v>
      </c>
      <c r="G91" s="175">
        <f>47*2</f>
        <v>94</v>
      </c>
      <c r="H91" s="175">
        <v>2E-3</v>
      </c>
      <c r="I91" s="175">
        <v>1.83</v>
      </c>
      <c r="J91" s="175">
        <v>75.599999999999994</v>
      </c>
      <c r="K91" s="175">
        <v>0</v>
      </c>
      <c r="L91" s="175">
        <v>0</v>
      </c>
      <c r="M91" s="175">
        <v>138.4</v>
      </c>
      <c r="N91" s="175">
        <v>14.4</v>
      </c>
      <c r="O91" s="175">
        <v>104</v>
      </c>
      <c r="P91" s="177">
        <v>0.96</v>
      </c>
      <c r="Q91" s="178">
        <v>135</v>
      </c>
      <c r="R91" s="178">
        <v>0</v>
      </c>
      <c r="S91" s="178">
        <v>0</v>
      </c>
      <c r="T91" s="178">
        <v>0</v>
      </c>
    </row>
    <row r="92" spans="1:20" ht="18.75" customHeight="1" x14ac:dyDescent="0.25">
      <c r="A92" s="48" t="s">
        <v>195</v>
      </c>
      <c r="B92" s="167" t="s">
        <v>196</v>
      </c>
      <c r="C92" s="169">
        <v>60</v>
      </c>
      <c r="D92" s="2">
        <v>7.42</v>
      </c>
      <c r="E92" s="2">
        <v>9.6</v>
      </c>
      <c r="F92" s="2">
        <v>38.17</v>
      </c>
      <c r="G92" s="11">
        <f>409.4*0.5</f>
        <v>204.7</v>
      </c>
      <c r="H92" s="169">
        <v>0.16</v>
      </c>
      <c r="I92" s="169">
        <v>3.9</v>
      </c>
      <c r="J92" s="169">
        <v>74.5</v>
      </c>
      <c r="K92" s="169">
        <v>0.34</v>
      </c>
      <c r="L92" s="169">
        <v>1.41</v>
      </c>
      <c r="M92" s="169">
        <v>83.2</v>
      </c>
      <c r="N92" s="169">
        <v>9.4</v>
      </c>
      <c r="O92" s="169">
        <v>78.599999999999994</v>
      </c>
      <c r="P92" s="170">
        <v>0.12</v>
      </c>
      <c r="Q92" s="164">
        <v>54</v>
      </c>
      <c r="R92" s="164">
        <v>0</v>
      </c>
      <c r="S92" s="164">
        <v>0</v>
      </c>
      <c r="T92" s="164">
        <v>0</v>
      </c>
    </row>
    <row r="93" spans="1:20" ht="17.25" customHeight="1" x14ac:dyDescent="0.25">
      <c r="A93" s="165" t="s">
        <v>99</v>
      </c>
      <c r="B93" s="167" t="s">
        <v>64</v>
      </c>
      <c r="C93" s="169">
        <v>100</v>
      </c>
      <c r="D93" s="169">
        <v>0.48</v>
      </c>
      <c r="E93" s="169">
        <v>0.48</v>
      </c>
      <c r="F93" s="169">
        <v>11.86</v>
      </c>
      <c r="G93" s="2">
        <f t="shared" ref="G93" si="31">(9*E93)+4*(F93+D93)</f>
        <v>53.68</v>
      </c>
      <c r="H93" s="172">
        <v>0.03</v>
      </c>
      <c r="I93" s="172">
        <v>10</v>
      </c>
      <c r="J93" s="172">
        <v>0.03</v>
      </c>
      <c r="K93" s="172">
        <v>0.02</v>
      </c>
      <c r="L93" s="172">
        <v>0</v>
      </c>
      <c r="M93" s="172">
        <v>9.5</v>
      </c>
      <c r="N93" s="172">
        <v>7</v>
      </c>
      <c r="O93" s="172">
        <v>9.5</v>
      </c>
      <c r="P93" s="171">
        <v>1.2</v>
      </c>
      <c r="Q93" s="164">
        <v>0.4</v>
      </c>
      <c r="R93" s="164">
        <v>1.7000000000000001E-2</v>
      </c>
      <c r="S93" s="164">
        <v>0</v>
      </c>
      <c r="T93" s="164">
        <v>0.5</v>
      </c>
    </row>
    <row r="94" spans="1:20" ht="24" customHeight="1" x14ac:dyDescent="0.25">
      <c r="A94" s="244" t="s">
        <v>18</v>
      </c>
      <c r="B94" s="245"/>
      <c r="C94" s="119">
        <v>360</v>
      </c>
      <c r="D94" s="68">
        <f t="shared" ref="D94:T94" si="32">++D91+D92+D93</f>
        <v>9.3000000000000007</v>
      </c>
      <c r="E94" s="68">
        <f t="shared" si="32"/>
        <v>10.08</v>
      </c>
      <c r="F94" s="68">
        <f t="shared" si="32"/>
        <v>73.53</v>
      </c>
      <c r="G94" s="68">
        <f t="shared" si="32"/>
        <v>352.38</v>
      </c>
      <c r="H94" s="119">
        <f>++H91+H92+H93</f>
        <v>0.192</v>
      </c>
      <c r="I94" s="119">
        <f t="shared" si="32"/>
        <v>15.73</v>
      </c>
      <c r="J94" s="119">
        <f t="shared" si="32"/>
        <v>150.13</v>
      </c>
      <c r="K94" s="119">
        <f t="shared" si="32"/>
        <v>0.36000000000000004</v>
      </c>
      <c r="L94" s="119">
        <f t="shared" si="32"/>
        <v>1.41</v>
      </c>
      <c r="M94" s="119">
        <f t="shared" si="32"/>
        <v>231.10000000000002</v>
      </c>
      <c r="N94" s="119">
        <f t="shared" si="32"/>
        <v>30.8</v>
      </c>
      <c r="O94" s="119">
        <f t="shared" si="32"/>
        <v>192.1</v>
      </c>
      <c r="P94" s="119">
        <f t="shared" si="32"/>
        <v>2.2800000000000002</v>
      </c>
      <c r="Q94" s="119">
        <f t="shared" si="32"/>
        <v>189.4</v>
      </c>
      <c r="R94" s="119">
        <f t="shared" si="32"/>
        <v>1.7000000000000001E-2</v>
      </c>
      <c r="S94" s="119">
        <f t="shared" si="32"/>
        <v>0</v>
      </c>
      <c r="T94" s="119">
        <f t="shared" si="32"/>
        <v>0.5</v>
      </c>
    </row>
    <row r="95" spans="1:20" ht="24" customHeight="1" x14ac:dyDescent="0.25">
      <c r="A95" s="244" t="s">
        <v>20</v>
      </c>
      <c r="B95" s="245"/>
      <c r="C95" s="119">
        <f>+C80+C89+C94</f>
        <v>1725</v>
      </c>
      <c r="D95" s="4">
        <f t="shared" ref="D95:T95" si="33">D94+D89+D80</f>
        <v>71.09</v>
      </c>
      <c r="E95" s="4">
        <f t="shared" si="33"/>
        <v>68.339999999999989</v>
      </c>
      <c r="F95" s="4">
        <f t="shared" si="33"/>
        <v>307.24</v>
      </c>
      <c r="G95" s="9">
        <f t="shared" si="33"/>
        <v>2058.7199999999998</v>
      </c>
      <c r="H95" s="179">
        <f>H94+H89+H80</f>
        <v>1.0359999999999998</v>
      </c>
      <c r="I95" s="38">
        <f t="shared" si="33"/>
        <v>55.54</v>
      </c>
      <c r="J95" s="38">
        <f t="shared" si="33"/>
        <v>708.5</v>
      </c>
      <c r="K95" s="38">
        <f t="shared" si="33"/>
        <v>1.2130000000000001</v>
      </c>
      <c r="L95" s="38">
        <f t="shared" si="33"/>
        <v>8.0020000000000007</v>
      </c>
      <c r="M95" s="38">
        <f t="shared" si="33"/>
        <v>965.56999999999994</v>
      </c>
      <c r="N95" s="38">
        <f t="shared" si="33"/>
        <v>237.79999999999998</v>
      </c>
      <c r="O95" s="38">
        <f t="shared" si="33"/>
        <v>945.71</v>
      </c>
      <c r="P95" s="38">
        <f t="shared" si="33"/>
        <v>14.262</v>
      </c>
      <c r="Q95" s="38">
        <f t="shared" si="33"/>
        <v>965.33999999999992</v>
      </c>
      <c r="R95" s="38">
        <f t="shared" si="33"/>
        <v>8.0100000000000005E-2</v>
      </c>
      <c r="S95" s="38">
        <f t="shared" si="33"/>
        <v>4.0000000000000008E-2</v>
      </c>
      <c r="T95" s="38">
        <f t="shared" si="33"/>
        <v>3.09</v>
      </c>
    </row>
    <row r="96" spans="1:20" ht="24" customHeight="1" x14ac:dyDescent="0.25">
      <c r="A96" s="278" t="s">
        <v>21</v>
      </c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</row>
    <row r="97" spans="1:20" ht="24" customHeight="1" x14ac:dyDescent="0.25">
      <c r="A97" s="244" t="s">
        <v>17</v>
      </c>
      <c r="B97" s="244"/>
      <c r="C97" s="244"/>
      <c r="D97" s="244"/>
      <c r="E97" s="244"/>
      <c r="F97" s="244"/>
      <c r="G97" s="244"/>
      <c r="H97" s="244"/>
      <c r="I97" s="244"/>
      <c r="J97" s="244"/>
      <c r="K97" s="244"/>
      <c r="L97" s="244"/>
      <c r="M97" s="244"/>
      <c r="N97" s="244"/>
      <c r="O97" s="244"/>
      <c r="P97" s="244"/>
      <c r="Q97" s="244"/>
      <c r="R97" s="244"/>
      <c r="S97" s="244"/>
      <c r="T97" s="244"/>
    </row>
    <row r="98" spans="1:20" x14ac:dyDescent="0.25">
      <c r="A98" s="122" t="s">
        <v>114</v>
      </c>
      <c r="B98" s="30" t="s">
        <v>244</v>
      </c>
      <c r="C98" s="127">
        <v>90</v>
      </c>
      <c r="D98" s="128">
        <f>18.92/2</f>
        <v>9.4600000000000009</v>
      </c>
      <c r="E98" s="141">
        <v>14.2</v>
      </c>
      <c r="F98" s="128">
        <f>11.43/2</f>
        <v>5.7149999999999999</v>
      </c>
      <c r="G98" s="66">
        <f t="shared" ref="G98:G102" si="34">(9*E98)+4*(F98+D98)</f>
        <v>188.5</v>
      </c>
      <c r="H98" s="127">
        <v>0.22</v>
      </c>
      <c r="I98" s="127">
        <v>0.06</v>
      </c>
      <c r="J98" s="127">
        <v>86.1</v>
      </c>
      <c r="K98" s="127">
        <v>0.122</v>
      </c>
      <c r="L98" s="127">
        <v>0</v>
      </c>
      <c r="M98" s="127">
        <v>164.57</v>
      </c>
      <c r="N98" s="127">
        <v>18.760000000000002</v>
      </c>
      <c r="O98" s="127">
        <v>84.79</v>
      </c>
      <c r="P98" s="127">
        <v>1.66</v>
      </c>
      <c r="Q98" s="120">
        <v>132</v>
      </c>
      <c r="R98" s="120">
        <v>1E-3</v>
      </c>
      <c r="S98" s="120">
        <v>0</v>
      </c>
      <c r="T98" s="120">
        <v>0</v>
      </c>
    </row>
    <row r="99" spans="1:20" x14ac:dyDescent="0.25">
      <c r="A99" s="123" t="s">
        <v>87</v>
      </c>
      <c r="B99" s="30" t="s">
        <v>24</v>
      </c>
      <c r="C99" s="127">
        <v>180</v>
      </c>
      <c r="D99" s="127">
        <v>9.86</v>
      </c>
      <c r="E99" s="127">
        <v>7.6</v>
      </c>
      <c r="F99" s="127">
        <v>42.4</v>
      </c>
      <c r="G99" s="66">
        <f t="shared" si="34"/>
        <v>277.44</v>
      </c>
      <c r="H99" s="127">
        <v>0.03</v>
      </c>
      <c r="I99" s="127">
        <v>0.03</v>
      </c>
      <c r="J99" s="127">
        <v>96.6</v>
      </c>
      <c r="K99" s="127">
        <v>8.5999999999999993E-2</v>
      </c>
      <c r="L99" s="127">
        <v>0.01</v>
      </c>
      <c r="M99" s="127">
        <v>93</v>
      </c>
      <c r="N99" s="127">
        <v>17</v>
      </c>
      <c r="O99" s="127">
        <v>48</v>
      </c>
      <c r="P99" s="127">
        <v>0.6</v>
      </c>
      <c r="Q99" s="120">
        <v>77.680000000000007</v>
      </c>
      <c r="R99" s="120">
        <v>3.0000000000000001E-3</v>
      </c>
      <c r="S99" s="120">
        <v>7.4999999999999997E-3</v>
      </c>
      <c r="T99" s="120">
        <v>0</v>
      </c>
    </row>
    <row r="100" spans="1:20" x14ac:dyDescent="0.25">
      <c r="A100" s="165" t="s">
        <v>165</v>
      </c>
      <c r="B100" s="36" t="s">
        <v>199</v>
      </c>
      <c r="C100" s="169">
        <v>125</v>
      </c>
      <c r="D100" s="169">
        <v>0</v>
      </c>
      <c r="E100" s="169">
        <v>0</v>
      </c>
      <c r="F100" s="169">
        <f>14*1.2</f>
        <v>16.8</v>
      </c>
      <c r="G100" s="66">
        <f t="shared" si="34"/>
        <v>67.2</v>
      </c>
      <c r="H100" s="172">
        <v>0.02</v>
      </c>
      <c r="I100" s="172">
        <v>0</v>
      </c>
      <c r="J100" s="172">
        <v>62.4</v>
      </c>
      <c r="K100" s="172">
        <v>0.14000000000000001</v>
      </c>
      <c r="L100" s="172">
        <v>0.88</v>
      </c>
      <c r="M100" s="172">
        <v>29.36</v>
      </c>
      <c r="N100" s="172">
        <v>4.18</v>
      </c>
      <c r="O100" s="172">
        <v>66.81</v>
      </c>
      <c r="P100" s="171">
        <v>0.87</v>
      </c>
      <c r="Q100" s="164">
        <v>46.48</v>
      </c>
      <c r="R100" s="164">
        <v>7.0000000000000001E-3</v>
      </c>
      <c r="S100" s="164">
        <v>1E-3</v>
      </c>
      <c r="T100" s="164">
        <v>0.19</v>
      </c>
    </row>
    <row r="101" spans="1:20" x14ac:dyDescent="0.25">
      <c r="A101" s="48" t="s">
        <v>93</v>
      </c>
      <c r="B101" s="124" t="s">
        <v>25</v>
      </c>
      <c r="C101" s="127">
        <v>50</v>
      </c>
      <c r="D101" s="127">
        <f>2*1.52</f>
        <v>3.04</v>
      </c>
      <c r="E101" s="127">
        <f>2*0.16</f>
        <v>0.32</v>
      </c>
      <c r="F101" s="127">
        <f>2*10.03</f>
        <v>20.059999999999999</v>
      </c>
      <c r="G101" s="66">
        <f t="shared" si="34"/>
        <v>95.279999999999987</v>
      </c>
      <c r="H101" s="127">
        <v>0.104</v>
      </c>
      <c r="I101" s="127">
        <v>0.8</v>
      </c>
      <c r="J101" s="127">
        <v>0</v>
      </c>
      <c r="K101" s="127">
        <v>0</v>
      </c>
      <c r="L101" s="127">
        <v>0</v>
      </c>
      <c r="M101" s="127">
        <v>10.16</v>
      </c>
      <c r="N101" s="127">
        <v>18.12</v>
      </c>
      <c r="O101" s="127">
        <v>72.16</v>
      </c>
      <c r="P101" s="127">
        <v>0.88</v>
      </c>
      <c r="Q101" s="120">
        <v>37.200000000000003</v>
      </c>
      <c r="R101" s="120">
        <v>1.2E-2</v>
      </c>
      <c r="S101" s="120">
        <v>2E-3</v>
      </c>
      <c r="T101" s="120">
        <v>0</v>
      </c>
    </row>
    <row r="102" spans="1:20" x14ac:dyDescent="0.25">
      <c r="A102" s="123" t="s">
        <v>115</v>
      </c>
      <c r="B102" s="124" t="s">
        <v>30</v>
      </c>
      <c r="C102" s="127" t="s">
        <v>135</v>
      </c>
      <c r="D102" s="118">
        <v>0.04</v>
      </c>
      <c r="E102" s="118">
        <v>0</v>
      </c>
      <c r="F102" s="118">
        <v>10.119999999999999</v>
      </c>
      <c r="G102" s="66">
        <f t="shared" si="34"/>
        <v>40.639999999999993</v>
      </c>
      <c r="H102" s="118">
        <v>0.06</v>
      </c>
      <c r="I102" s="118">
        <v>0</v>
      </c>
      <c r="J102" s="127">
        <v>0</v>
      </c>
      <c r="K102" s="127">
        <v>0</v>
      </c>
      <c r="L102" s="127">
        <v>0</v>
      </c>
      <c r="M102" s="127">
        <v>10.16</v>
      </c>
      <c r="N102" s="127">
        <v>9.92</v>
      </c>
      <c r="O102" s="127">
        <v>80</v>
      </c>
      <c r="P102" s="127">
        <v>0.8</v>
      </c>
      <c r="Q102" s="120">
        <v>34</v>
      </c>
      <c r="R102" s="120">
        <v>0</v>
      </c>
      <c r="S102" s="120">
        <v>0</v>
      </c>
      <c r="T102" s="120">
        <v>0.2</v>
      </c>
    </row>
    <row r="103" spans="1:20" ht="24" customHeight="1" x14ac:dyDescent="0.25">
      <c r="A103" s="244" t="s">
        <v>18</v>
      </c>
      <c r="B103" s="245"/>
      <c r="C103" s="119">
        <f>+C98+C99+C100+C101+200+10+5</f>
        <v>660</v>
      </c>
      <c r="D103" s="4">
        <f t="shared" ref="D103:T103" si="35">SUM(D98:D102)</f>
        <v>22.4</v>
      </c>
      <c r="E103" s="9">
        <f t="shared" si="35"/>
        <v>22.119999999999997</v>
      </c>
      <c r="F103" s="9">
        <f t="shared" si="35"/>
        <v>95.094999999999999</v>
      </c>
      <c r="G103" s="9">
        <f>SUM(G98:G102)</f>
        <v>669.06</v>
      </c>
      <c r="H103" s="5">
        <f t="shared" si="35"/>
        <v>0.434</v>
      </c>
      <c r="I103" s="5">
        <f t="shared" si="35"/>
        <v>0.89</v>
      </c>
      <c r="J103" s="5">
        <f t="shared" si="35"/>
        <v>245.1</v>
      </c>
      <c r="K103" s="5">
        <f t="shared" si="35"/>
        <v>0.34799999999999998</v>
      </c>
      <c r="L103" s="5">
        <f t="shared" si="35"/>
        <v>0.89</v>
      </c>
      <c r="M103" s="5">
        <f t="shared" si="35"/>
        <v>307.25000000000006</v>
      </c>
      <c r="N103" s="5">
        <f t="shared" si="35"/>
        <v>67.98</v>
      </c>
      <c r="O103" s="5">
        <f t="shared" si="35"/>
        <v>351.76</v>
      </c>
      <c r="P103" s="5">
        <f t="shared" si="35"/>
        <v>4.8099999999999996</v>
      </c>
      <c r="Q103" s="5">
        <f t="shared" si="35"/>
        <v>327.36</v>
      </c>
      <c r="R103" s="5">
        <f t="shared" si="35"/>
        <v>2.3E-2</v>
      </c>
      <c r="S103" s="5">
        <f t="shared" si="35"/>
        <v>1.0500000000000001E-2</v>
      </c>
      <c r="T103" s="5">
        <f t="shared" si="35"/>
        <v>0.39</v>
      </c>
    </row>
    <row r="104" spans="1:20" ht="24" customHeight="1" x14ac:dyDescent="0.25">
      <c r="A104" s="244" t="s">
        <v>19</v>
      </c>
      <c r="B104" s="244"/>
      <c r="C104" s="244"/>
      <c r="D104" s="244"/>
      <c r="E104" s="244"/>
      <c r="F104" s="244"/>
      <c r="G104" s="244"/>
      <c r="H104" s="244"/>
      <c r="I104" s="244"/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</row>
    <row r="105" spans="1:20" ht="31.5" x14ac:dyDescent="0.25">
      <c r="A105" s="166" t="s">
        <v>120</v>
      </c>
      <c r="B105" s="167" t="s">
        <v>137</v>
      </c>
      <c r="C105" s="169" t="s">
        <v>38</v>
      </c>
      <c r="D105" s="169">
        <f>2.6*2.75</f>
        <v>7.15</v>
      </c>
      <c r="E105" s="169">
        <f>1.6*2.75</f>
        <v>4.4000000000000004</v>
      </c>
      <c r="F105" s="169">
        <v>19.38</v>
      </c>
      <c r="G105" s="169">
        <f>F105*4+E105*9+D105*4</f>
        <v>145.72</v>
      </c>
      <c r="H105" s="169">
        <v>0.12</v>
      </c>
      <c r="I105" s="169">
        <v>31.6</v>
      </c>
      <c r="J105" s="169">
        <v>72.400000000000006</v>
      </c>
      <c r="K105" s="169">
        <v>0.5</v>
      </c>
      <c r="L105" s="169">
        <v>0.06</v>
      </c>
      <c r="M105" s="169">
        <v>112.44</v>
      </c>
      <c r="N105" s="169">
        <v>32.4</v>
      </c>
      <c r="O105" s="169">
        <v>82</v>
      </c>
      <c r="P105" s="169">
        <v>1.363</v>
      </c>
      <c r="Q105" s="164">
        <v>101.3</v>
      </c>
      <c r="R105" s="164">
        <v>2E-3</v>
      </c>
      <c r="S105" s="164">
        <v>5.0000000000000001E-4</v>
      </c>
      <c r="T105" s="164">
        <v>0.6</v>
      </c>
    </row>
    <row r="106" spans="1:20" ht="25.5" x14ac:dyDescent="0.25">
      <c r="A106" s="50" t="s">
        <v>200</v>
      </c>
      <c r="B106" s="167" t="s">
        <v>201</v>
      </c>
      <c r="C106" s="169">
        <v>100</v>
      </c>
      <c r="D106" s="162">
        <v>13.6</v>
      </c>
      <c r="E106" s="162">
        <v>10.4</v>
      </c>
      <c r="F106" s="162">
        <v>12.03</v>
      </c>
      <c r="G106" s="169">
        <f>F106*4+E106*9+D106*4</f>
        <v>196.12</v>
      </c>
      <c r="H106" s="162">
        <v>0.1</v>
      </c>
      <c r="I106" s="162">
        <v>3.2</v>
      </c>
      <c r="J106" s="162">
        <v>58.6</v>
      </c>
      <c r="K106" s="162">
        <v>4.4999999999999998E-2</v>
      </c>
      <c r="L106" s="162">
        <v>0.2</v>
      </c>
      <c r="M106" s="162">
        <v>110.86</v>
      </c>
      <c r="N106" s="162">
        <v>20.100000000000001</v>
      </c>
      <c r="O106" s="162">
        <v>95.1</v>
      </c>
      <c r="P106" s="163">
        <v>0.43</v>
      </c>
      <c r="Q106" s="164">
        <v>41</v>
      </c>
      <c r="R106" s="164">
        <v>0</v>
      </c>
      <c r="S106" s="164">
        <v>1E-3</v>
      </c>
      <c r="T106" s="120">
        <v>0.02</v>
      </c>
    </row>
    <row r="107" spans="1:20" x14ac:dyDescent="0.25">
      <c r="A107" s="50" t="s">
        <v>203</v>
      </c>
      <c r="B107" s="167" t="s">
        <v>202</v>
      </c>
      <c r="C107" s="169">
        <v>180</v>
      </c>
      <c r="D107" s="162">
        <v>5.4</v>
      </c>
      <c r="E107" s="162">
        <v>9.1999999999999993</v>
      </c>
      <c r="F107" s="162">
        <v>58.87</v>
      </c>
      <c r="G107" s="169">
        <f t="shared" ref="G107:G111" si="36">F107*4+E107*9+D107*4</f>
        <v>339.88</v>
      </c>
      <c r="H107" s="162">
        <v>0.17</v>
      </c>
      <c r="I107" s="162">
        <v>8.8000000000000007</v>
      </c>
      <c r="J107" s="162">
        <v>149.80000000000001</v>
      </c>
      <c r="K107" s="162">
        <v>0.17</v>
      </c>
      <c r="L107" s="162">
        <v>4.8</v>
      </c>
      <c r="M107" s="162">
        <v>163.4</v>
      </c>
      <c r="N107" s="162">
        <v>16.8</v>
      </c>
      <c r="O107" s="162">
        <v>82.1</v>
      </c>
      <c r="P107" s="163">
        <v>2.5</v>
      </c>
      <c r="Q107" s="164">
        <v>88.5</v>
      </c>
      <c r="R107" s="164">
        <v>1.4999999999999999E-2</v>
      </c>
      <c r="S107" s="164">
        <v>1.2999999999999999E-2</v>
      </c>
      <c r="T107" s="140">
        <v>0.75</v>
      </c>
    </row>
    <row r="108" spans="1:20" x14ac:dyDescent="0.25">
      <c r="A108" s="131" t="s">
        <v>127</v>
      </c>
      <c r="B108" s="30" t="s">
        <v>161</v>
      </c>
      <c r="C108" s="164">
        <v>100</v>
      </c>
      <c r="D108" s="164">
        <v>2.6</v>
      </c>
      <c r="E108" s="164">
        <v>9.8000000000000007</v>
      </c>
      <c r="F108" s="164">
        <v>2</v>
      </c>
      <c r="G108" s="169">
        <f t="shared" si="36"/>
        <v>106.60000000000001</v>
      </c>
      <c r="H108" s="164">
        <v>0</v>
      </c>
      <c r="I108" s="164">
        <v>0</v>
      </c>
      <c r="J108" s="164">
        <v>39</v>
      </c>
      <c r="K108" s="164">
        <v>0</v>
      </c>
      <c r="L108" s="169">
        <v>0</v>
      </c>
      <c r="M108" s="164">
        <v>27</v>
      </c>
      <c r="N108" s="164">
        <v>23.7</v>
      </c>
      <c r="O108" s="164">
        <v>53.01</v>
      </c>
      <c r="P108" s="164">
        <v>0.24</v>
      </c>
      <c r="Q108" s="164">
        <v>71.88</v>
      </c>
      <c r="R108" s="164">
        <v>2E-3</v>
      </c>
      <c r="S108" s="164">
        <v>2.0000000000000001E-4</v>
      </c>
      <c r="T108" s="164">
        <v>0.45</v>
      </c>
    </row>
    <row r="109" spans="1:20" x14ac:dyDescent="0.25">
      <c r="A109" s="123" t="s">
        <v>117</v>
      </c>
      <c r="B109" s="124" t="s">
        <v>68</v>
      </c>
      <c r="C109" s="127">
        <v>200</v>
      </c>
      <c r="D109" s="118">
        <v>0.16</v>
      </c>
      <c r="E109" s="118">
        <v>0.16</v>
      </c>
      <c r="F109" s="118">
        <v>15.9</v>
      </c>
      <c r="G109" s="169">
        <f t="shared" si="36"/>
        <v>65.680000000000007</v>
      </c>
      <c r="H109" s="127">
        <v>0</v>
      </c>
      <c r="I109" s="127">
        <v>0.1</v>
      </c>
      <c r="J109" s="127">
        <v>0</v>
      </c>
      <c r="K109" s="127">
        <v>0</v>
      </c>
      <c r="L109" s="127">
        <v>0</v>
      </c>
      <c r="M109" s="127">
        <v>5.25</v>
      </c>
      <c r="N109" s="127">
        <v>4.4000000000000004</v>
      </c>
      <c r="O109" s="127">
        <v>8.24</v>
      </c>
      <c r="P109" s="127">
        <v>0.86</v>
      </c>
      <c r="Q109" s="120">
        <v>96</v>
      </c>
      <c r="R109" s="120">
        <v>3.0000000000000001E-3</v>
      </c>
      <c r="S109" s="120">
        <v>0</v>
      </c>
      <c r="T109" s="120">
        <v>0.25</v>
      </c>
    </row>
    <row r="110" spans="1:20" x14ac:dyDescent="0.25">
      <c r="A110" s="48" t="s">
        <v>93</v>
      </c>
      <c r="B110" s="124" t="s">
        <v>25</v>
      </c>
      <c r="C110" s="127">
        <v>50</v>
      </c>
      <c r="D110" s="169">
        <f>2*1.52</f>
        <v>3.04</v>
      </c>
      <c r="E110" s="169">
        <f>2*0.16</f>
        <v>0.32</v>
      </c>
      <c r="F110" s="169">
        <f>2*10.03</f>
        <v>20.059999999999999</v>
      </c>
      <c r="G110" s="169">
        <f t="shared" si="36"/>
        <v>95.279999999999987</v>
      </c>
      <c r="H110" s="169">
        <v>0.104</v>
      </c>
      <c r="I110" s="169">
        <v>0.8</v>
      </c>
      <c r="J110" s="169">
        <v>0</v>
      </c>
      <c r="K110" s="169">
        <v>0</v>
      </c>
      <c r="L110" s="169">
        <v>0</v>
      </c>
      <c r="M110" s="169">
        <v>10.16</v>
      </c>
      <c r="N110" s="169">
        <v>18.12</v>
      </c>
      <c r="O110" s="169">
        <v>72.16</v>
      </c>
      <c r="P110" s="169">
        <v>0.88</v>
      </c>
      <c r="Q110" s="164">
        <v>37.200000000000003</v>
      </c>
      <c r="R110" s="164">
        <v>1.2E-2</v>
      </c>
      <c r="S110" s="164">
        <v>2E-3</v>
      </c>
      <c r="T110" s="164">
        <v>0</v>
      </c>
    </row>
    <row r="111" spans="1:20" x14ac:dyDescent="0.25">
      <c r="A111" s="48" t="s">
        <v>94</v>
      </c>
      <c r="B111" s="3" t="s">
        <v>27</v>
      </c>
      <c r="C111" s="127">
        <v>50</v>
      </c>
      <c r="D111" s="127">
        <f>2*1.32</f>
        <v>2.64</v>
      </c>
      <c r="E111" s="127">
        <f>2*0.24</f>
        <v>0.48</v>
      </c>
      <c r="F111" s="127">
        <f>2*8.36</f>
        <v>16.72</v>
      </c>
      <c r="G111" s="169">
        <f t="shared" si="36"/>
        <v>81.759999999999991</v>
      </c>
      <c r="H111" s="127">
        <v>0.03</v>
      </c>
      <c r="I111" s="127">
        <v>0</v>
      </c>
      <c r="J111" s="127">
        <v>0</v>
      </c>
      <c r="K111" s="127">
        <v>0</v>
      </c>
      <c r="L111" s="127">
        <v>0</v>
      </c>
      <c r="M111" s="127">
        <v>5.08</v>
      </c>
      <c r="N111" s="127">
        <v>4.96</v>
      </c>
      <c r="O111" s="127">
        <v>40</v>
      </c>
      <c r="P111" s="127">
        <v>0.4</v>
      </c>
      <c r="Q111" s="120">
        <v>16.2</v>
      </c>
      <c r="R111" s="120">
        <v>6.0000000000000001E-3</v>
      </c>
      <c r="S111" s="120">
        <v>1E-3</v>
      </c>
      <c r="T111" s="120">
        <v>0</v>
      </c>
    </row>
    <row r="112" spans="1:20" x14ac:dyDescent="0.25">
      <c r="A112" s="225" t="s">
        <v>18</v>
      </c>
      <c r="B112" s="266"/>
      <c r="C112" s="119">
        <v>945</v>
      </c>
      <c r="D112" s="4">
        <f>SUM(D105:D111)</f>
        <v>34.589999999999996</v>
      </c>
      <c r="E112" s="4">
        <f>SUM(E105:E111)</f>
        <v>34.759999999999991</v>
      </c>
      <c r="F112" s="4">
        <f>SUM(F105:F111)</f>
        <v>144.96</v>
      </c>
      <c r="G112" s="4">
        <f>SUM(G105:G111)</f>
        <v>1031.04</v>
      </c>
      <c r="H112" s="13">
        <f>SUM(H105:H111)</f>
        <v>0.52400000000000002</v>
      </c>
      <c r="I112" s="173">
        <f t="shared" ref="I112:T112" si="37">SUM(I105:I111)</f>
        <v>44.500000000000007</v>
      </c>
      <c r="J112" s="173">
        <f>SUM(J105:J111)</f>
        <v>319.8</v>
      </c>
      <c r="K112" s="173">
        <f t="shared" si="37"/>
        <v>0.71500000000000008</v>
      </c>
      <c r="L112" s="173">
        <f t="shared" si="37"/>
        <v>5.0599999999999996</v>
      </c>
      <c r="M112" s="173">
        <f>SUM(M105:M111)</f>
        <v>434.19000000000005</v>
      </c>
      <c r="N112" s="173">
        <f t="shared" si="37"/>
        <v>120.48</v>
      </c>
      <c r="O112" s="173">
        <f t="shared" si="37"/>
        <v>432.61</v>
      </c>
      <c r="P112" s="173">
        <f t="shared" si="37"/>
        <v>6.6730000000000009</v>
      </c>
      <c r="Q112" s="173">
        <f t="shared" si="37"/>
        <v>452.08</v>
      </c>
      <c r="R112" s="173">
        <f t="shared" si="37"/>
        <v>0.04</v>
      </c>
      <c r="S112" s="173">
        <f t="shared" si="37"/>
        <v>1.77E-2</v>
      </c>
      <c r="T112" s="173">
        <f t="shared" si="37"/>
        <v>2.0700000000000003</v>
      </c>
    </row>
    <row r="113" spans="1:20" ht="25.5" customHeight="1" x14ac:dyDescent="0.25">
      <c r="A113" s="244" t="s">
        <v>40</v>
      </c>
      <c r="B113" s="244"/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44"/>
      <c r="N113" s="244"/>
      <c r="O113" s="244"/>
      <c r="P113" s="244"/>
      <c r="Q113" s="244"/>
      <c r="R113" s="244"/>
      <c r="S113" s="244"/>
      <c r="T113" s="244"/>
    </row>
    <row r="114" spans="1:20" x14ac:dyDescent="0.25">
      <c r="A114" s="166" t="s">
        <v>75</v>
      </c>
      <c r="B114" s="167" t="s">
        <v>160</v>
      </c>
      <c r="C114" s="169" t="s">
        <v>56</v>
      </c>
      <c r="D114" s="169">
        <v>0</v>
      </c>
      <c r="E114" s="169">
        <v>0</v>
      </c>
      <c r="F114" s="169">
        <f>4.8*2.1</f>
        <v>10.08</v>
      </c>
      <c r="G114" s="169">
        <f t="shared" ref="G114:G115" si="38">(9*E114)+4*(F114+D114)</f>
        <v>40.32</v>
      </c>
      <c r="H114" s="169">
        <v>0</v>
      </c>
      <c r="I114" s="169">
        <v>0</v>
      </c>
      <c r="J114" s="169">
        <v>0</v>
      </c>
      <c r="K114" s="169">
        <v>0</v>
      </c>
      <c r="L114" s="169">
        <v>0</v>
      </c>
      <c r="M114" s="169">
        <v>12</v>
      </c>
      <c r="N114" s="169">
        <v>6</v>
      </c>
      <c r="O114" s="169">
        <v>8.24</v>
      </c>
      <c r="P114" s="170">
        <v>0.86</v>
      </c>
      <c r="Q114" s="164">
        <v>24</v>
      </c>
      <c r="R114" s="164">
        <v>0</v>
      </c>
      <c r="S114" s="164">
        <v>0</v>
      </c>
      <c r="T114" s="164">
        <v>0.2</v>
      </c>
    </row>
    <row r="115" spans="1:20" x14ac:dyDescent="0.25">
      <c r="A115" s="48" t="s">
        <v>96</v>
      </c>
      <c r="B115" s="167" t="s">
        <v>67</v>
      </c>
      <c r="C115" s="169">
        <v>75</v>
      </c>
      <c r="D115" s="169">
        <v>12.9</v>
      </c>
      <c r="E115" s="169">
        <v>11.4</v>
      </c>
      <c r="F115" s="169">
        <v>43.87</v>
      </c>
      <c r="G115" s="169">
        <f t="shared" si="38"/>
        <v>329.68</v>
      </c>
      <c r="H115" s="169">
        <v>0.22</v>
      </c>
      <c r="I115" s="169">
        <v>0.6</v>
      </c>
      <c r="J115" s="169">
        <v>132.69999999999999</v>
      </c>
      <c r="K115" s="169">
        <v>0.2</v>
      </c>
      <c r="L115" s="169">
        <v>1.8</v>
      </c>
      <c r="M115" s="169">
        <v>183.7</v>
      </c>
      <c r="N115" s="169">
        <v>23.6</v>
      </c>
      <c r="O115" s="169">
        <v>168.7</v>
      </c>
      <c r="P115" s="169">
        <v>0.9</v>
      </c>
      <c r="Q115" s="164">
        <v>136.19999999999999</v>
      </c>
      <c r="R115" s="164">
        <v>1.4999999999999999E-2</v>
      </c>
      <c r="S115" s="164">
        <v>0.01</v>
      </c>
      <c r="T115" s="164">
        <v>0.3</v>
      </c>
    </row>
    <row r="116" spans="1:20" x14ac:dyDescent="0.25">
      <c r="A116" s="47"/>
      <c r="B116" s="18" t="s">
        <v>184</v>
      </c>
      <c r="C116" s="162">
        <v>65</v>
      </c>
      <c r="D116" s="162">
        <v>2.9</v>
      </c>
      <c r="E116" s="162">
        <v>2.1</v>
      </c>
      <c r="F116" s="162">
        <v>11.34</v>
      </c>
      <c r="G116" s="169">
        <f>(9*E116)+4*(F116+D116)</f>
        <v>75.86</v>
      </c>
      <c r="H116" s="172">
        <v>0.03</v>
      </c>
      <c r="I116" s="172">
        <v>10</v>
      </c>
      <c r="J116" s="172">
        <v>0.03</v>
      </c>
      <c r="K116" s="172">
        <v>0.02</v>
      </c>
      <c r="L116" s="172">
        <v>0</v>
      </c>
      <c r="M116" s="172">
        <v>19.5</v>
      </c>
      <c r="N116" s="172">
        <v>7</v>
      </c>
      <c r="O116" s="172">
        <v>9.5</v>
      </c>
      <c r="P116" s="171">
        <v>1.2</v>
      </c>
      <c r="Q116" s="164">
        <v>0.4</v>
      </c>
      <c r="R116" s="164">
        <v>1.7000000000000001E-2</v>
      </c>
      <c r="S116" s="164">
        <v>0</v>
      </c>
      <c r="T116" s="164">
        <v>0.06</v>
      </c>
    </row>
    <row r="117" spans="1:20" ht="24" customHeight="1" x14ac:dyDescent="0.25">
      <c r="A117" s="244" t="s">
        <v>18</v>
      </c>
      <c r="B117" s="245"/>
      <c r="C117" s="119">
        <v>350</v>
      </c>
      <c r="D117" s="68">
        <f t="shared" ref="D117:T117" si="39">SUM(D114:D116)</f>
        <v>15.8</v>
      </c>
      <c r="E117" s="68">
        <f>SUM(E114:E116)</f>
        <v>13.5</v>
      </c>
      <c r="F117" s="68">
        <f t="shared" si="39"/>
        <v>65.289999999999992</v>
      </c>
      <c r="G117" s="68">
        <f>SUM(G114:G116)</f>
        <v>445.86</v>
      </c>
      <c r="H117" s="119">
        <f t="shared" si="39"/>
        <v>0.25</v>
      </c>
      <c r="I117" s="119">
        <f t="shared" si="39"/>
        <v>10.6</v>
      </c>
      <c r="J117" s="119">
        <f t="shared" si="39"/>
        <v>132.72999999999999</v>
      </c>
      <c r="K117" s="119">
        <f t="shared" si="39"/>
        <v>0.22</v>
      </c>
      <c r="L117" s="119">
        <f t="shared" si="39"/>
        <v>1.8</v>
      </c>
      <c r="M117" s="119">
        <f t="shared" si="39"/>
        <v>215.2</v>
      </c>
      <c r="N117" s="119">
        <f t="shared" si="39"/>
        <v>36.6</v>
      </c>
      <c r="O117" s="119">
        <f t="shared" si="39"/>
        <v>186.44</v>
      </c>
      <c r="P117" s="119">
        <f t="shared" si="39"/>
        <v>2.96</v>
      </c>
      <c r="Q117" s="119">
        <f t="shared" si="39"/>
        <v>160.6</v>
      </c>
      <c r="R117" s="119">
        <f t="shared" si="39"/>
        <v>3.2000000000000001E-2</v>
      </c>
      <c r="S117" s="119">
        <f t="shared" si="39"/>
        <v>0.01</v>
      </c>
      <c r="T117" s="119">
        <f t="shared" si="39"/>
        <v>0.56000000000000005</v>
      </c>
    </row>
    <row r="118" spans="1:20" ht="24" customHeight="1" x14ac:dyDescent="0.25">
      <c r="A118" s="244" t="s">
        <v>20</v>
      </c>
      <c r="B118" s="245"/>
      <c r="C118" s="119">
        <f>+C103+C112+C117</f>
        <v>1955</v>
      </c>
      <c r="D118" s="4">
        <f>D117+D112+D103</f>
        <v>72.789999999999992</v>
      </c>
      <c r="E118" s="4">
        <f t="shared" ref="E118:F118" si="40">E117+E112+E103</f>
        <v>70.38</v>
      </c>
      <c r="F118" s="4">
        <f t="shared" si="40"/>
        <v>305.34500000000003</v>
      </c>
      <c r="G118" s="9">
        <f>G117+G112+G103</f>
        <v>2145.96</v>
      </c>
      <c r="H118" s="38">
        <f t="shared" ref="H118:T118" si="41">H117+H112+H103</f>
        <v>1.208</v>
      </c>
      <c r="I118" s="38">
        <f t="shared" si="41"/>
        <v>55.990000000000009</v>
      </c>
      <c r="J118" s="38">
        <f t="shared" si="41"/>
        <v>697.63</v>
      </c>
      <c r="K118" s="38">
        <f t="shared" si="41"/>
        <v>1.2829999999999999</v>
      </c>
      <c r="L118" s="38">
        <f t="shared" si="41"/>
        <v>7.7499999999999991</v>
      </c>
      <c r="M118" s="38">
        <f t="shared" si="41"/>
        <v>956.6400000000001</v>
      </c>
      <c r="N118" s="38">
        <f t="shared" si="41"/>
        <v>225.06</v>
      </c>
      <c r="O118" s="38">
        <f t="shared" si="41"/>
        <v>970.81</v>
      </c>
      <c r="P118" s="38">
        <f t="shared" si="41"/>
        <v>14.443000000000001</v>
      </c>
      <c r="Q118" s="38">
        <f t="shared" si="41"/>
        <v>940.04</v>
      </c>
      <c r="R118" s="38">
        <f t="shared" si="41"/>
        <v>9.5000000000000001E-2</v>
      </c>
      <c r="S118" s="38">
        <f t="shared" si="41"/>
        <v>3.8200000000000005E-2</v>
      </c>
      <c r="T118" s="38">
        <f t="shared" si="41"/>
        <v>3.0200000000000005</v>
      </c>
    </row>
    <row r="119" spans="1:20" ht="24" customHeight="1" x14ac:dyDescent="0.25">
      <c r="A119" s="285"/>
      <c r="B119" s="286"/>
      <c r="C119" s="286"/>
      <c r="D119" s="286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7"/>
    </row>
    <row r="120" spans="1:20" ht="24" customHeight="1" x14ac:dyDescent="0.25">
      <c r="A120" s="280" t="s">
        <v>84</v>
      </c>
      <c r="B120" s="280"/>
      <c r="C120" s="280"/>
      <c r="D120" s="280"/>
      <c r="E120" s="280"/>
      <c r="F120" s="280"/>
      <c r="G120" s="280"/>
      <c r="H120" s="280"/>
      <c r="I120" s="280"/>
      <c r="J120" s="280"/>
      <c r="K120" s="280"/>
      <c r="L120" s="280"/>
      <c r="M120" s="280"/>
      <c r="N120" s="280"/>
      <c r="O120" s="280"/>
      <c r="P120" s="280"/>
      <c r="Q120" s="120"/>
      <c r="R120" s="120"/>
      <c r="S120" s="120"/>
      <c r="T120" s="120"/>
    </row>
    <row r="121" spans="1:20" ht="24" customHeight="1" x14ac:dyDescent="0.25">
      <c r="A121" s="129"/>
      <c r="B121" s="13"/>
      <c r="C121" s="259" t="s">
        <v>152</v>
      </c>
      <c r="D121" s="242" t="s">
        <v>6</v>
      </c>
      <c r="E121" s="242"/>
      <c r="F121" s="242"/>
      <c r="G121" s="241" t="s">
        <v>76</v>
      </c>
      <c r="H121" s="245" t="s">
        <v>14</v>
      </c>
      <c r="I121" s="245"/>
      <c r="J121" s="245"/>
      <c r="K121" s="245"/>
      <c r="L121" s="120"/>
      <c r="M121" s="245" t="s">
        <v>15</v>
      </c>
      <c r="N121" s="245"/>
      <c r="O121" s="245"/>
      <c r="P121" s="245"/>
      <c r="Q121" s="120"/>
      <c r="R121" s="120"/>
      <c r="S121" s="120"/>
      <c r="T121" s="120"/>
    </row>
    <row r="122" spans="1:20" ht="39" customHeight="1" x14ac:dyDescent="0.25">
      <c r="A122" s="129"/>
      <c r="B122" s="13"/>
      <c r="C122" s="259"/>
      <c r="D122" s="117" t="s">
        <v>3</v>
      </c>
      <c r="E122" s="117" t="s">
        <v>4</v>
      </c>
      <c r="F122" s="117" t="s">
        <v>5</v>
      </c>
      <c r="G122" s="242"/>
      <c r="H122" s="65" t="s">
        <v>7</v>
      </c>
      <c r="I122" s="65" t="s">
        <v>8</v>
      </c>
      <c r="J122" s="65" t="s">
        <v>9</v>
      </c>
      <c r="K122" s="65" t="s">
        <v>146</v>
      </c>
      <c r="L122" s="65" t="s">
        <v>151</v>
      </c>
      <c r="M122" s="65" t="s">
        <v>10</v>
      </c>
      <c r="N122" s="65" t="s">
        <v>11</v>
      </c>
      <c r="O122" s="65" t="s">
        <v>12</v>
      </c>
      <c r="P122" s="65" t="s">
        <v>13</v>
      </c>
      <c r="Q122" s="120" t="s">
        <v>147</v>
      </c>
      <c r="R122" s="120" t="s">
        <v>148</v>
      </c>
      <c r="S122" s="120" t="s">
        <v>149</v>
      </c>
      <c r="T122" s="120" t="s">
        <v>150</v>
      </c>
    </row>
    <row r="123" spans="1:20" ht="24" customHeight="1" x14ac:dyDescent="0.25">
      <c r="A123" s="56" t="s">
        <v>17</v>
      </c>
      <c r="B123" s="22"/>
      <c r="C123" s="23">
        <f>SUM(C12+C35+C57+C80+C103)/5</f>
        <v>584</v>
      </c>
      <c r="D123" s="24">
        <f>+(D12+D35+D57+D80+D103)/5</f>
        <v>23.301200000000001</v>
      </c>
      <c r="E123" s="24">
        <f>+(E12+E35+E57+E80+E103)/5</f>
        <v>23.475999999999999</v>
      </c>
      <c r="F123" s="24">
        <f>+(F12+F35+F57+F80+F103)/5</f>
        <v>97.76400000000001</v>
      </c>
      <c r="G123" s="24">
        <f>+(G12+G35+G57+G80+G103)/5</f>
        <v>697.02599999999984</v>
      </c>
      <c r="H123" s="39">
        <f t="shared" ref="H123:T123" si="42">(H12+H35+H57+H80+H103)/5</f>
        <v>0.36239999999999994</v>
      </c>
      <c r="I123" s="39">
        <f t="shared" si="42"/>
        <v>11.062000000000001</v>
      </c>
      <c r="J123" s="39">
        <f t="shared" si="42"/>
        <v>237.76999999999998</v>
      </c>
      <c r="K123" s="39">
        <f t="shared" si="42"/>
        <v>0.43140000000000001</v>
      </c>
      <c r="L123" s="39">
        <f t="shared" si="42"/>
        <v>1.4802000000000002</v>
      </c>
      <c r="M123" s="39">
        <f t="shared" si="42"/>
        <v>271.572</v>
      </c>
      <c r="N123" s="39">
        <f t="shared" si="42"/>
        <v>94.284000000000006</v>
      </c>
      <c r="O123" s="39">
        <f t="shared" si="42"/>
        <v>315.476</v>
      </c>
      <c r="P123" s="39">
        <f t="shared" si="42"/>
        <v>4.22</v>
      </c>
      <c r="Q123" s="39">
        <f t="shared" si="42"/>
        <v>319.50799999999998</v>
      </c>
      <c r="R123" s="39">
        <f t="shared" si="42"/>
        <v>2.1199999999999997E-2</v>
      </c>
      <c r="S123" s="39">
        <f t="shared" si="42"/>
        <v>1.4999999999999999E-2</v>
      </c>
      <c r="T123" s="39">
        <f t="shared" si="42"/>
        <v>0.86534</v>
      </c>
    </row>
    <row r="124" spans="1:20" ht="24" customHeight="1" x14ac:dyDescent="0.25">
      <c r="A124" s="56" t="s">
        <v>23</v>
      </c>
      <c r="B124" s="22"/>
      <c r="C124" s="23">
        <f>SUM(C21+C44+C66+C89+C112)/5</f>
        <v>909</v>
      </c>
      <c r="D124" s="24">
        <f>+(D21+D44+D66+D89+D112)/5</f>
        <v>35.696000000000005</v>
      </c>
      <c r="E124" s="24">
        <f>+(E21+E44+E66+E89+E112)/5</f>
        <v>37.409999999999989</v>
      </c>
      <c r="F124" s="24">
        <f>+(F21+F44+F66+F89+F112)/5</f>
        <v>135.86199999999999</v>
      </c>
      <c r="G124" s="24">
        <f>+(G21+G44+G66+G89+G112)/5</f>
        <v>1037.7013999999999</v>
      </c>
      <c r="H124" s="39">
        <f t="shared" ref="H124:T124" si="43">(H21+H44+H66+H89+H112)/5</f>
        <v>0.55000000000000004</v>
      </c>
      <c r="I124" s="39">
        <f t="shared" si="43"/>
        <v>33.213000000000001</v>
      </c>
      <c r="J124" s="39">
        <f t="shared" si="43"/>
        <v>346.62199999999996</v>
      </c>
      <c r="K124" s="39">
        <f t="shared" si="43"/>
        <v>0.59199999999999997</v>
      </c>
      <c r="L124" s="39">
        <f t="shared" si="43"/>
        <v>4.7324000000000002</v>
      </c>
      <c r="M124" s="39">
        <f>(M21+M44+M66+M89+M112)/5</f>
        <v>395.06400000000002</v>
      </c>
      <c r="N124" s="39">
        <f t="shared" si="43"/>
        <v>107.22999999999999</v>
      </c>
      <c r="O124" s="39">
        <f t="shared" si="43"/>
        <v>404.93200000000007</v>
      </c>
      <c r="P124" s="39">
        <f t="shared" si="43"/>
        <v>7.8356000000000012</v>
      </c>
      <c r="Q124" s="39">
        <f t="shared" si="43"/>
        <v>446.91800000000001</v>
      </c>
      <c r="R124" s="39">
        <f t="shared" si="43"/>
        <v>3.6540000000000003E-2</v>
      </c>
      <c r="S124" s="39">
        <f t="shared" si="43"/>
        <v>2.0150000000000001E-2</v>
      </c>
      <c r="T124" s="39">
        <f t="shared" si="43"/>
        <v>1.7832000000000001</v>
      </c>
    </row>
    <row r="125" spans="1:20" ht="24" customHeight="1" x14ac:dyDescent="0.25">
      <c r="A125" s="56" t="s">
        <v>40</v>
      </c>
      <c r="B125" s="22"/>
      <c r="C125" s="23">
        <f>SUM(C26+C71+C49+C94+C117)/5</f>
        <v>368</v>
      </c>
      <c r="D125" s="24">
        <f>+(D26+D49+D71+D94+D117)/5</f>
        <v>12.453399999999998</v>
      </c>
      <c r="E125" s="24">
        <f>+(E26+E49+E71+E94+E117)/5</f>
        <v>11.891999999999999</v>
      </c>
      <c r="F125" s="24">
        <f>+(F26+F49+F71+F94+F117)/5</f>
        <v>68.133999999999986</v>
      </c>
      <c r="G125" s="24">
        <f>+(G26+G49+G71+G94+G117)/5</f>
        <v>415.90160000000003</v>
      </c>
      <c r="H125" s="39">
        <f t="shared" ref="H125:T125" si="44">(H26+H49+H71+H94+H117)/5</f>
        <v>0.19439999999999999</v>
      </c>
      <c r="I125" s="39">
        <f t="shared" si="44"/>
        <v>11.372000000000002</v>
      </c>
      <c r="J125" s="39">
        <f t="shared" si="44"/>
        <v>125.348</v>
      </c>
      <c r="K125" s="39">
        <f t="shared" si="44"/>
        <v>0.24430000000000002</v>
      </c>
      <c r="L125" s="39">
        <f t="shared" si="44"/>
        <v>1.8060000000000003</v>
      </c>
      <c r="M125" s="39">
        <f>(M26+M49+M71+M94+M117)/5</f>
        <v>279.00800000000004</v>
      </c>
      <c r="N125" s="39">
        <f t="shared" si="44"/>
        <v>34.962000000000003</v>
      </c>
      <c r="O125" s="39">
        <f t="shared" si="44"/>
        <v>226.946</v>
      </c>
      <c r="P125" s="39">
        <f t="shared" si="44"/>
        <v>2.2369999999999997</v>
      </c>
      <c r="Q125" s="39">
        <f t="shared" si="44"/>
        <v>179.18</v>
      </c>
      <c r="R125" s="39">
        <f t="shared" si="44"/>
        <v>2.1800000000000003E-2</v>
      </c>
      <c r="S125" s="39">
        <f t="shared" si="44"/>
        <v>4.5999999999999999E-3</v>
      </c>
      <c r="T125" s="39">
        <f t="shared" si="44"/>
        <v>0.504</v>
      </c>
    </row>
    <row r="126" spans="1:20" ht="24" customHeight="1" x14ac:dyDescent="0.25">
      <c r="A126" s="56" t="s">
        <v>79</v>
      </c>
      <c r="B126" s="22"/>
      <c r="C126" s="23">
        <f>SUM(C27+C50+C72+C95+C118)/5</f>
        <v>1861</v>
      </c>
      <c r="D126" s="24">
        <f>SUM(D123:D125)</f>
        <v>71.450600000000009</v>
      </c>
      <c r="E126" s="24">
        <f>SUM(E123:E125)</f>
        <v>72.777999999999992</v>
      </c>
      <c r="F126" s="24">
        <f>SUM(F123:F125)</f>
        <v>301.76</v>
      </c>
      <c r="G126" s="24">
        <f>SUM(G123:G125)</f>
        <v>2150.6289999999999</v>
      </c>
      <c r="H126" s="24">
        <f>SUM(H123:H125)</f>
        <v>1.1068</v>
      </c>
      <c r="I126" s="24">
        <f t="shared" ref="I126:K126" si="45">SUM(I123:I125)</f>
        <v>55.647000000000006</v>
      </c>
      <c r="J126" s="24">
        <f t="shared" si="45"/>
        <v>709.7399999999999</v>
      </c>
      <c r="K126" s="24">
        <f t="shared" si="45"/>
        <v>1.2677</v>
      </c>
      <c r="L126" s="24">
        <f t="shared" ref="L126" si="46">SUM(L123:L125)</f>
        <v>8.0186000000000011</v>
      </c>
      <c r="M126" s="24">
        <f>SUM(M123:M125)</f>
        <v>945.64400000000001</v>
      </c>
      <c r="N126" s="24">
        <f t="shared" ref="N126" si="47">SUM(N123:N125)</f>
        <v>236.476</v>
      </c>
      <c r="O126" s="24">
        <f t="shared" ref="O126" si="48">SUM(O123:O125)</f>
        <v>947.35400000000016</v>
      </c>
      <c r="P126" s="24">
        <f t="shared" ref="P126:T126" si="49">SUM(P123:P125)</f>
        <v>14.292600000000002</v>
      </c>
      <c r="Q126" s="24">
        <f t="shared" si="49"/>
        <v>945.60599999999999</v>
      </c>
      <c r="R126" s="24">
        <f t="shared" si="49"/>
        <v>7.954E-2</v>
      </c>
      <c r="S126" s="24">
        <f t="shared" si="49"/>
        <v>3.9750000000000001E-2</v>
      </c>
      <c r="T126" s="24">
        <f t="shared" si="49"/>
        <v>3.1525400000000001</v>
      </c>
    </row>
    <row r="127" spans="1:20" ht="24" customHeight="1" x14ac:dyDescent="0.25">
      <c r="A127" s="283" t="s">
        <v>78</v>
      </c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</row>
    <row r="128" spans="1:20" ht="24" customHeight="1" x14ac:dyDescent="0.25">
      <c r="A128" s="56" t="s">
        <v>17</v>
      </c>
      <c r="B128" s="22"/>
      <c r="C128" s="86">
        <f>SUM(C123/550*100)</f>
        <v>106.18181818181817</v>
      </c>
      <c r="D128" s="24">
        <f>D123*100/22.5</f>
        <v>103.56088888888891</v>
      </c>
      <c r="E128" s="24">
        <f>E123*100/23</f>
        <v>102.0695652173913</v>
      </c>
      <c r="F128" s="24">
        <f>F123*100/95.75</f>
        <v>102.10339425587469</v>
      </c>
      <c r="G128" s="24">
        <f>G123*100/587.5</f>
        <v>118.64272340425528</v>
      </c>
      <c r="H128" s="24">
        <f>H123*100/0.35</f>
        <v>103.54285714285713</v>
      </c>
      <c r="I128" s="24">
        <f>I123*100/I123</f>
        <v>100</v>
      </c>
      <c r="J128" s="24">
        <f t="shared" ref="J128:T130" si="50">J123*100/J123</f>
        <v>100.00000000000001</v>
      </c>
      <c r="K128" s="24">
        <f t="shared" si="50"/>
        <v>100</v>
      </c>
      <c r="L128" s="24">
        <f t="shared" si="50"/>
        <v>100</v>
      </c>
      <c r="M128" s="24">
        <f t="shared" si="50"/>
        <v>100</v>
      </c>
      <c r="N128" s="24">
        <f t="shared" si="50"/>
        <v>100.00000000000001</v>
      </c>
      <c r="O128" s="24">
        <f t="shared" si="50"/>
        <v>100</v>
      </c>
      <c r="P128" s="24">
        <f t="shared" si="50"/>
        <v>100</v>
      </c>
      <c r="Q128" s="24">
        <f t="shared" si="50"/>
        <v>100</v>
      </c>
      <c r="R128" s="24">
        <f t="shared" si="50"/>
        <v>100</v>
      </c>
      <c r="S128" s="24">
        <f t="shared" si="50"/>
        <v>100</v>
      </c>
      <c r="T128" s="24">
        <f t="shared" si="50"/>
        <v>100.00000000000001</v>
      </c>
    </row>
    <row r="129" spans="1:20" ht="24" customHeight="1" x14ac:dyDescent="0.25">
      <c r="A129" s="56" t="s">
        <v>19</v>
      </c>
      <c r="B129" s="22"/>
      <c r="C129" s="86">
        <f>SUM(C124/800*100)</f>
        <v>113.625</v>
      </c>
      <c r="D129" s="24">
        <f>D124*100/31.5</f>
        <v>113.32063492063493</v>
      </c>
      <c r="E129" s="24">
        <f>E124*100/32.2</f>
        <v>116.18012422360245</v>
      </c>
      <c r="F129" s="24">
        <f>F124*100/134.05</f>
        <v>101.35173442745243</v>
      </c>
      <c r="G129" s="24">
        <f>G124*100/952</f>
        <v>109.00224789915964</v>
      </c>
      <c r="H129" s="24">
        <f>H124*100/H124</f>
        <v>100</v>
      </c>
      <c r="I129" s="24">
        <f t="shared" ref="I129:T129" si="51">I124*100/I124</f>
        <v>100</v>
      </c>
      <c r="J129" s="24">
        <f t="shared" si="51"/>
        <v>100</v>
      </c>
      <c r="K129" s="24">
        <f t="shared" si="51"/>
        <v>100</v>
      </c>
      <c r="L129" s="24">
        <f t="shared" si="50"/>
        <v>100</v>
      </c>
      <c r="M129" s="24">
        <f t="shared" si="51"/>
        <v>100</v>
      </c>
      <c r="N129" s="24">
        <f t="shared" si="51"/>
        <v>99.999999999999986</v>
      </c>
      <c r="O129" s="24">
        <f t="shared" si="51"/>
        <v>99.999999999999986</v>
      </c>
      <c r="P129" s="24">
        <f t="shared" si="51"/>
        <v>100</v>
      </c>
      <c r="Q129" s="24">
        <f t="shared" si="51"/>
        <v>100</v>
      </c>
      <c r="R129" s="24">
        <f t="shared" si="51"/>
        <v>100</v>
      </c>
      <c r="S129" s="24">
        <f t="shared" si="51"/>
        <v>100</v>
      </c>
      <c r="T129" s="24">
        <f t="shared" si="51"/>
        <v>100</v>
      </c>
    </row>
    <row r="130" spans="1:20" ht="24" customHeight="1" x14ac:dyDescent="0.25">
      <c r="A130" s="56" t="s">
        <v>40</v>
      </c>
      <c r="B130" s="22"/>
      <c r="C130" s="86">
        <f>SUM(C125/350*100)</f>
        <v>105.14285714285714</v>
      </c>
      <c r="D130" s="24">
        <f>D125*100/13.5</f>
        <v>92.247407407407408</v>
      </c>
      <c r="E130" s="24">
        <f>E125*100/13.8</f>
        <v>86.173913043478265</v>
      </c>
      <c r="F130" s="24">
        <f>F125*100/57.45</f>
        <v>118.59704090513488</v>
      </c>
      <c r="G130" s="24">
        <f>G125*100/408</f>
        <v>101.93666666666668</v>
      </c>
      <c r="H130" s="24">
        <f>H125*100/H125</f>
        <v>100</v>
      </c>
      <c r="I130" s="24">
        <f t="shared" ref="I130:T130" si="52">I125*100/I125</f>
        <v>100.00000000000001</v>
      </c>
      <c r="J130" s="24">
        <f t="shared" si="52"/>
        <v>100</v>
      </c>
      <c r="K130" s="24">
        <f t="shared" si="52"/>
        <v>100</v>
      </c>
      <c r="L130" s="24">
        <f t="shared" si="50"/>
        <v>100</v>
      </c>
      <c r="M130" s="24">
        <f t="shared" si="52"/>
        <v>100</v>
      </c>
      <c r="N130" s="24">
        <f t="shared" si="52"/>
        <v>100</v>
      </c>
      <c r="O130" s="24">
        <f t="shared" si="52"/>
        <v>100</v>
      </c>
      <c r="P130" s="24">
        <f t="shared" si="52"/>
        <v>100</v>
      </c>
      <c r="Q130" s="24">
        <f t="shared" si="52"/>
        <v>100</v>
      </c>
      <c r="R130" s="24">
        <f t="shared" si="52"/>
        <v>99.999999999999986</v>
      </c>
      <c r="S130" s="24">
        <f t="shared" si="52"/>
        <v>100</v>
      </c>
      <c r="T130" s="24">
        <f t="shared" si="52"/>
        <v>100</v>
      </c>
    </row>
    <row r="131" spans="1:20" ht="24" customHeight="1" x14ac:dyDescent="0.25">
      <c r="A131" s="57" t="s">
        <v>55</v>
      </c>
      <c r="B131" s="26"/>
      <c r="C131" s="27">
        <v>1700</v>
      </c>
      <c r="D131" s="27">
        <v>67.5</v>
      </c>
      <c r="E131" s="27">
        <v>69</v>
      </c>
      <c r="F131" s="27">
        <v>287.25</v>
      </c>
      <c r="G131" s="24">
        <v>2040</v>
      </c>
      <c r="H131" s="27">
        <v>1.05</v>
      </c>
      <c r="I131" s="27">
        <v>52.5</v>
      </c>
      <c r="J131" s="27">
        <v>675</v>
      </c>
      <c r="K131" s="27">
        <v>1.2</v>
      </c>
      <c r="L131" s="27">
        <v>7.5</v>
      </c>
      <c r="M131" s="27">
        <v>900</v>
      </c>
      <c r="N131" s="27">
        <v>225</v>
      </c>
      <c r="O131" s="27">
        <v>900</v>
      </c>
      <c r="P131" s="27">
        <v>13.5</v>
      </c>
      <c r="Q131" s="27">
        <v>900</v>
      </c>
      <c r="R131" s="206">
        <v>7.4999999999999997E-2</v>
      </c>
      <c r="S131" s="207">
        <v>3.7499999999999999E-2</v>
      </c>
      <c r="T131" s="27">
        <v>3</v>
      </c>
    </row>
    <row r="132" spans="1:20" ht="24" customHeight="1" x14ac:dyDescent="0.25">
      <c r="A132" s="57" t="s">
        <v>54</v>
      </c>
      <c r="B132" s="26"/>
      <c r="C132" s="27">
        <f>SUM(C126/C131*100)</f>
        <v>109.47058823529412</v>
      </c>
      <c r="D132" s="27">
        <f t="shared" ref="D132:I132" si="53">D126*100/D131</f>
        <v>105.85274074074076</v>
      </c>
      <c r="E132" s="27">
        <f t="shared" si="53"/>
        <v>105.47536231884057</v>
      </c>
      <c r="F132" s="27">
        <f t="shared" si="53"/>
        <v>105.05134899912967</v>
      </c>
      <c r="G132" s="27">
        <f t="shared" si="53"/>
        <v>105.42299019607843</v>
      </c>
      <c r="H132" s="27">
        <f t="shared" si="53"/>
        <v>105.4095238095238</v>
      </c>
      <c r="I132" s="27">
        <f t="shared" si="53"/>
        <v>105.99428571428572</v>
      </c>
      <c r="J132" s="27">
        <f t="shared" ref="J132:T132" si="54">J126*100/J131</f>
        <v>105.14666666666665</v>
      </c>
      <c r="K132" s="27">
        <f t="shared" si="54"/>
        <v>105.64166666666668</v>
      </c>
      <c r="L132" s="27">
        <f t="shared" si="54"/>
        <v>106.91466666666669</v>
      </c>
      <c r="M132" s="27">
        <f>M126*100/M131</f>
        <v>105.07155555555555</v>
      </c>
      <c r="N132" s="27">
        <f t="shared" si="54"/>
        <v>105.10044444444443</v>
      </c>
      <c r="O132" s="27">
        <f t="shared" si="54"/>
        <v>105.26155555555556</v>
      </c>
      <c r="P132" s="27">
        <f t="shared" si="54"/>
        <v>105.87111111111113</v>
      </c>
      <c r="Q132" s="27">
        <f t="shared" si="54"/>
        <v>105.06733333333334</v>
      </c>
      <c r="R132" s="27">
        <f t="shared" si="54"/>
        <v>106.05333333333333</v>
      </c>
      <c r="S132" s="27">
        <f t="shared" si="54"/>
        <v>106</v>
      </c>
      <c r="T132" s="27">
        <f t="shared" si="54"/>
        <v>105.08466666666668</v>
      </c>
    </row>
    <row r="133" spans="1:20" ht="24" customHeight="1" x14ac:dyDescent="0.25">
      <c r="A133" s="278" t="s">
        <v>47</v>
      </c>
      <c r="B133" s="278"/>
      <c r="C133" s="27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8"/>
      <c r="R133" s="278"/>
      <c r="S133" s="278"/>
      <c r="T133" s="278"/>
    </row>
    <row r="134" spans="1:20" ht="24" customHeight="1" x14ac:dyDescent="0.25">
      <c r="A134" s="244" t="s">
        <v>17</v>
      </c>
      <c r="B134" s="244"/>
      <c r="C134" s="244"/>
      <c r="D134" s="244"/>
      <c r="E134" s="244"/>
      <c r="F134" s="244"/>
      <c r="G134" s="244"/>
      <c r="H134" s="244"/>
      <c r="I134" s="244"/>
      <c r="J134" s="244"/>
      <c r="K134" s="244"/>
      <c r="L134" s="244"/>
      <c r="M134" s="244"/>
      <c r="N134" s="244"/>
      <c r="O134" s="244"/>
      <c r="P134" s="244"/>
      <c r="Q134" s="244"/>
      <c r="R134" s="244"/>
      <c r="S134" s="244"/>
      <c r="T134" s="244"/>
    </row>
    <row r="135" spans="1:20" ht="38.25" customHeight="1" x14ac:dyDescent="0.25">
      <c r="A135" s="47" t="s">
        <v>204</v>
      </c>
      <c r="B135" s="1" t="s">
        <v>205</v>
      </c>
      <c r="C135" s="175" t="s">
        <v>91</v>
      </c>
      <c r="D135" s="175">
        <v>9.48</v>
      </c>
      <c r="E135" s="175">
        <v>18.7</v>
      </c>
      <c r="F135" s="175">
        <v>39.67</v>
      </c>
      <c r="G135" s="2">
        <f>(9*E135)+4*(F135+D135)</f>
        <v>364.9</v>
      </c>
      <c r="H135" s="175">
        <v>0.24</v>
      </c>
      <c r="I135" s="175">
        <v>6</v>
      </c>
      <c r="J135" s="175">
        <v>182.3</v>
      </c>
      <c r="K135" s="175">
        <v>1.6199999999999999E-2</v>
      </c>
      <c r="L135" s="175">
        <v>1.8</v>
      </c>
      <c r="M135" s="175">
        <v>161.24</v>
      </c>
      <c r="N135" s="175">
        <v>64.760000000000005</v>
      </c>
      <c r="O135" s="175">
        <v>167.8</v>
      </c>
      <c r="P135" s="175">
        <v>2.66</v>
      </c>
      <c r="Q135" s="178">
        <v>187</v>
      </c>
      <c r="R135" s="178">
        <v>1.4999999999999999E-2</v>
      </c>
      <c r="S135" s="178">
        <v>1.6E-2</v>
      </c>
      <c r="T135" s="178">
        <v>0.9</v>
      </c>
    </row>
    <row r="136" spans="1:20" ht="24.75" customHeight="1" x14ac:dyDescent="0.25">
      <c r="A136" s="122" t="s">
        <v>119</v>
      </c>
      <c r="B136" s="124" t="s">
        <v>61</v>
      </c>
      <c r="C136" s="127">
        <v>20</v>
      </c>
      <c r="D136" s="127">
        <v>7.26</v>
      </c>
      <c r="E136" s="127">
        <v>7.82</v>
      </c>
      <c r="F136" s="127">
        <v>0</v>
      </c>
      <c r="G136" s="2">
        <f>(9*E136)+4*(F136+D136)</f>
        <v>99.419999999999987</v>
      </c>
      <c r="H136" s="127">
        <v>6.0000000000000001E-3</v>
      </c>
      <c r="I136" s="127">
        <v>2.06</v>
      </c>
      <c r="J136" s="127">
        <v>6</v>
      </c>
      <c r="K136" s="127">
        <v>0.33</v>
      </c>
      <c r="L136" s="127">
        <v>1.2</v>
      </c>
      <c r="M136" s="127">
        <v>220</v>
      </c>
      <c r="N136" s="127">
        <v>10.47</v>
      </c>
      <c r="O136" s="127">
        <v>120.87</v>
      </c>
      <c r="P136" s="127">
        <v>0.13</v>
      </c>
      <c r="Q136" s="120">
        <v>25</v>
      </c>
      <c r="R136" s="120">
        <v>1.1999999999999999E-3</v>
      </c>
      <c r="S136" s="120">
        <v>6.9999999999999999E-4</v>
      </c>
      <c r="T136" s="120">
        <v>0.28000000000000003</v>
      </c>
    </row>
    <row r="137" spans="1:20" ht="20.25" customHeight="1" x14ac:dyDescent="0.25">
      <c r="A137" s="123" t="s">
        <v>75</v>
      </c>
      <c r="B137" s="148" t="s">
        <v>160</v>
      </c>
      <c r="C137" s="127" t="s">
        <v>56</v>
      </c>
      <c r="D137" s="127">
        <v>0</v>
      </c>
      <c r="E137" s="127">
        <v>0</v>
      </c>
      <c r="F137" s="127">
        <v>9.98</v>
      </c>
      <c r="G137" s="2">
        <f t="shared" ref="G137:G140" si="55">(9*E137)+4*(F137+D137)</f>
        <v>39.92</v>
      </c>
      <c r="H137" s="127">
        <v>0</v>
      </c>
      <c r="I137" s="127">
        <v>0.1</v>
      </c>
      <c r="J137" s="127">
        <v>0</v>
      </c>
      <c r="K137" s="127">
        <v>0</v>
      </c>
      <c r="L137" s="127">
        <v>0</v>
      </c>
      <c r="M137" s="127">
        <v>12</v>
      </c>
      <c r="N137" s="127">
        <v>6</v>
      </c>
      <c r="O137" s="127">
        <v>8.24</v>
      </c>
      <c r="P137" s="127">
        <v>0.86</v>
      </c>
      <c r="Q137" s="120">
        <v>24</v>
      </c>
      <c r="R137" s="120">
        <v>0</v>
      </c>
      <c r="S137" s="120">
        <v>0</v>
      </c>
      <c r="T137" s="120">
        <v>0.2</v>
      </c>
    </row>
    <row r="138" spans="1:20" x14ac:dyDescent="0.25">
      <c r="A138" s="48" t="s">
        <v>93</v>
      </c>
      <c r="B138" s="124" t="s">
        <v>62</v>
      </c>
      <c r="C138" s="128">
        <v>20</v>
      </c>
      <c r="D138" s="127">
        <v>1.5</v>
      </c>
      <c r="E138" s="127">
        <v>0.16</v>
      </c>
      <c r="F138" s="127">
        <v>10.029999999999999</v>
      </c>
      <c r="G138" s="2">
        <f t="shared" si="55"/>
        <v>47.559999999999995</v>
      </c>
      <c r="H138" s="127">
        <v>5.1999999999999998E-2</v>
      </c>
      <c r="I138" s="127">
        <v>0.4</v>
      </c>
      <c r="J138" s="127">
        <v>0</v>
      </c>
      <c r="K138" s="127">
        <v>0</v>
      </c>
      <c r="L138" s="127">
        <v>0</v>
      </c>
      <c r="M138" s="127">
        <v>5.8</v>
      </c>
      <c r="N138" s="127">
        <v>9.6</v>
      </c>
      <c r="O138" s="127">
        <v>36.799999999999997</v>
      </c>
      <c r="P138" s="127">
        <v>0.44</v>
      </c>
      <c r="Q138" s="120">
        <v>0</v>
      </c>
      <c r="R138" s="120">
        <v>0</v>
      </c>
      <c r="S138" s="120">
        <v>0</v>
      </c>
      <c r="T138" s="120">
        <v>0</v>
      </c>
    </row>
    <row r="139" spans="1:20" x14ac:dyDescent="0.25">
      <c r="A139" s="48" t="s">
        <v>93</v>
      </c>
      <c r="B139" s="124" t="s">
        <v>25</v>
      </c>
      <c r="C139" s="127">
        <v>50</v>
      </c>
      <c r="D139" s="127">
        <f>2*1.52</f>
        <v>3.04</v>
      </c>
      <c r="E139" s="127">
        <f>2*0.16</f>
        <v>0.32</v>
      </c>
      <c r="F139" s="127">
        <f>2*10.03</f>
        <v>20.059999999999999</v>
      </c>
      <c r="G139" s="2">
        <f t="shared" si="55"/>
        <v>95.279999999999987</v>
      </c>
      <c r="H139" s="127">
        <v>5.1999999999999998E-2</v>
      </c>
      <c r="I139" s="127">
        <v>0.4</v>
      </c>
      <c r="J139" s="127">
        <v>0</v>
      </c>
      <c r="K139" s="127">
        <v>0</v>
      </c>
      <c r="L139" s="127">
        <v>0</v>
      </c>
      <c r="M139" s="127">
        <v>30</v>
      </c>
      <c r="N139" s="127">
        <v>9.6</v>
      </c>
      <c r="O139" s="127">
        <v>26</v>
      </c>
      <c r="P139" s="127">
        <v>0.44</v>
      </c>
      <c r="Q139" s="120">
        <v>18.2</v>
      </c>
      <c r="R139" s="120">
        <v>6.0000000000000001E-3</v>
      </c>
      <c r="S139" s="120">
        <v>1E-3</v>
      </c>
      <c r="T139" s="120">
        <v>0</v>
      </c>
    </row>
    <row r="140" spans="1:20" x14ac:dyDescent="0.25">
      <c r="A140" s="123"/>
      <c r="B140" s="124" t="s">
        <v>140</v>
      </c>
      <c r="C140" s="127">
        <v>40</v>
      </c>
      <c r="D140" s="118">
        <v>2.8</v>
      </c>
      <c r="E140" s="118">
        <v>0.7</v>
      </c>
      <c r="F140" s="118">
        <v>11.86</v>
      </c>
      <c r="G140" s="2">
        <f t="shared" si="55"/>
        <v>64.94</v>
      </c>
      <c r="H140" s="118">
        <v>0.06</v>
      </c>
      <c r="I140" s="118">
        <v>10</v>
      </c>
      <c r="J140" s="127">
        <v>30</v>
      </c>
      <c r="K140" s="127">
        <v>0</v>
      </c>
      <c r="L140" s="127">
        <v>0</v>
      </c>
      <c r="M140" s="127">
        <v>10.16</v>
      </c>
      <c r="N140" s="127">
        <v>14</v>
      </c>
      <c r="O140" s="127">
        <v>9.5</v>
      </c>
      <c r="P140" s="127">
        <v>0.8</v>
      </c>
      <c r="Q140" s="120">
        <v>0.4</v>
      </c>
      <c r="R140" s="120">
        <v>0</v>
      </c>
      <c r="S140" s="120">
        <v>0</v>
      </c>
      <c r="T140" s="120">
        <v>0</v>
      </c>
    </row>
    <row r="141" spans="1:20" ht="24" customHeight="1" x14ac:dyDescent="0.25">
      <c r="A141" s="225" t="s">
        <v>18</v>
      </c>
      <c r="B141" s="243"/>
      <c r="C141" s="62">
        <f>220+10+C136+210+C138+C139+C140</f>
        <v>570</v>
      </c>
      <c r="D141" s="4">
        <f>SUM(D135:D140)</f>
        <v>24.080000000000002</v>
      </c>
      <c r="E141" s="4">
        <f>SUM(E135:E140)</f>
        <v>27.7</v>
      </c>
      <c r="F141" s="4">
        <f>SUM(F135:F140)</f>
        <v>91.600000000000009</v>
      </c>
      <c r="G141" s="4">
        <f>SUM(G135:G140)</f>
        <v>712.02</v>
      </c>
      <c r="H141" s="5">
        <f>SUM(H135:H140)</f>
        <v>0.41</v>
      </c>
      <c r="I141" s="5">
        <f t="shared" ref="I141:K141" si="56">SUM(I135:I140)</f>
        <v>18.96</v>
      </c>
      <c r="J141" s="5">
        <f t="shared" si="56"/>
        <v>218.3</v>
      </c>
      <c r="K141" s="5">
        <f t="shared" si="56"/>
        <v>0.34620000000000001</v>
      </c>
      <c r="L141" s="5">
        <f>SUM(L135:L140)</f>
        <v>3</v>
      </c>
      <c r="M141" s="5">
        <f t="shared" ref="M141:T141" si="57">SUM(M135:M140)</f>
        <v>439.20000000000005</v>
      </c>
      <c r="N141" s="5">
        <f t="shared" si="57"/>
        <v>114.42999999999999</v>
      </c>
      <c r="O141" s="5">
        <f t="shared" si="57"/>
        <v>369.21000000000004</v>
      </c>
      <c r="P141" s="5">
        <f t="shared" si="57"/>
        <v>5.33</v>
      </c>
      <c r="Q141" s="5">
        <f t="shared" si="57"/>
        <v>254.6</v>
      </c>
      <c r="R141" s="5">
        <f t="shared" si="57"/>
        <v>2.2199999999999998E-2</v>
      </c>
      <c r="S141" s="5">
        <f t="shared" si="57"/>
        <v>1.77E-2</v>
      </c>
      <c r="T141" s="5">
        <f t="shared" si="57"/>
        <v>1.3800000000000001</v>
      </c>
    </row>
    <row r="142" spans="1:20" ht="24" customHeight="1" x14ac:dyDescent="0.25">
      <c r="A142" s="244" t="s">
        <v>19</v>
      </c>
      <c r="B142" s="244"/>
      <c r="C142" s="244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44"/>
      <c r="P142" s="244"/>
      <c r="Q142" s="244"/>
      <c r="R142" s="244"/>
      <c r="S142" s="244"/>
      <c r="T142" s="244"/>
    </row>
    <row r="143" spans="1:20" ht="35.450000000000003" customHeight="1" x14ac:dyDescent="0.25">
      <c r="A143" s="165" t="s">
        <v>126</v>
      </c>
      <c r="B143" s="167" t="s">
        <v>210</v>
      </c>
      <c r="C143" s="169">
        <v>250</v>
      </c>
      <c r="D143" s="2">
        <v>10.08</v>
      </c>
      <c r="E143" s="2">
        <v>11.37</v>
      </c>
      <c r="F143" s="169">
        <v>18.16</v>
      </c>
      <c r="G143" s="169">
        <f t="shared" ref="G143:G144" si="58">D143*4+E143*9+F143*4</f>
        <v>215.29000000000002</v>
      </c>
      <c r="H143" s="169">
        <v>0.1</v>
      </c>
      <c r="I143" s="169">
        <v>8.6999999999999993</v>
      </c>
      <c r="J143" s="169">
        <v>148.27000000000001</v>
      </c>
      <c r="K143" s="169">
        <v>0.13300000000000001</v>
      </c>
      <c r="L143" s="169">
        <v>0.8</v>
      </c>
      <c r="M143" s="169">
        <v>94.6</v>
      </c>
      <c r="N143" s="169">
        <v>16.5</v>
      </c>
      <c r="O143" s="169">
        <v>56.3</v>
      </c>
      <c r="P143" s="170">
        <v>0.9</v>
      </c>
      <c r="Q143" s="164">
        <v>124</v>
      </c>
      <c r="R143" s="164">
        <v>0.01</v>
      </c>
      <c r="S143" s="164">
        <v>2.3E-3</v>
      </c>
      <c r="T143" s="164">
        <v>0.65</v>
      </c>
    </row>
    <row r="144" spans="1:20" x14ac:dyDescent="0.25">
      <c r="A144" s="47" t="s">
        <v>206</v>
      </c>
      <c r="B144" s="30" t="s">
        <v>63</v>
      </c>
      <c r="C144" s="164">
        <v>100</v>
      </c>
      <c r="D144" s="164">
        <v>1.2</v>
      </c>
      <c r="E144" s="164">
        <v>1.54</v>
      </c>
      <c r="F144" s="164">
        <v>5.15</v>
      </c>
      <c r="G144" s="169">
        <f t="shared" si="58"/>
        <v>39.260000000000005</v>
      </c>
      <c r="H144" s="164">
        <v>0.05</v>
      </c>
      <c r="I144" s="164">
        <v>8.7799999999999994</v>
      </c>
      <c r="J144" s="164">
        <v>38</v>
      </c>
      <c r="K144" s="164">
        <v>0.19</v>
      </c>
      <c r="L144" s="164">
        <v>3</v>
      </c>
      <c r="M144" s="164">
        <v>106.36</v>
      </c>
      <c r="N144" s="164">
        <v>15.46</v>
      </c>
      <c r="O144" s="164">
        <v>32.17</v>
      </c>
      <c r="P144" s="183">
        <v>1.68</v>
      </c>
      <c r="Q144" s="164">
        <v>88.7</v>
      </c>
      <c r="R144" s="164">
        <v>2E-3</v>
      </c>
      <c r="S144" s="164">
        <v>1.6999999999999999E-3</v>
      </c>
      <c r="T144" s="164">
        <v>0.04</v>
      </c>
    </row>
    <row r="145" spans="1:20" ht="24" customHeight="1" x14ac:dyDescent="0.25">
      <c r="A145" s="50" t="s">
        <v>121</v>
      </c>
      <c r="B145" s="124" t="s">
        <v>72</v>
      </c>
      <c r="C145" s="127" t="s">
        <v>32</v>
      </c>
      <c r="D145" s="118">
        <v>19.399999999999999</v>
      </c>
      <c r="E145" s="118">
        <v>20.96</v>
      </c>
      <c r="F145" s="118">
        <v>40.799999999999997</v>
      </c>
      <c r="G145" s="127">
        <f>D145*4+E145*9+F145*4</f>
        <v>429.44</v>
      </c>
      <c r="H145" s="127">
        <v>0.08</v>
      </c>
      <c r="I145" s="127">
        <v>5.94</v>
      </c>
      <c r="J145" s="127">
        <v>165.4</v>
      </c>
      <c r="K145" s="127">
        <v>0.25</v>
      </c>
      <c r="L145" s="127">
        <v>0.12</v>
      </c>
      <c r="M145" s="127">
        <v>89.67</v>
      </c>
      <c r="N145" s="127">
        <v>22.48</v>
      </c>
      <c r="O145" s="127">
        <v>97.03</v>
      </c>
      <c r="P145" s="127">
        <v>1.78</v>
      </c>
      <c r="Q145" s="120">
        <v>240.6</v>
      </c>
      <c r="R145" s="120">
        <v>1E-3</v>
      </c>
      <c r="S145" s="120">
        <v>5.4000000000000003E-3</v>
      </c>
      <c r="T145" s="120">
        <v>0.253</v>
      </c>
    </row>
    <row r="146" spans="1:20" ht="24" customHeight="1" x14ac:dyDescent="0.25">
      <c r="A146" s="48" t="s">
        <v>209</v>
      </c>
      <c r="B146" s="1" t="s">
        <v>211</v>
      </c>
      <c r="C146" s="175">
        <v>200</v>
      </c>
      <c r="D146" s="175">
        <f>0.2*2</f>
        <v>0.4</v>
      </c>
      <c r="E146" s="175">
        <f>0.06*2</f>
        <v>0.12</v>
      </c>
      <c r="F146" s="175">
        <f>12.64*2</f>
        <v>25.28</v>
      </c>
      <c r="G146" s="169">
        <f t="shared" ref="G146:G148" si="59">D146*4+E146*9+F146*4</f>
        <v>103.80000000000001</v>
      </c>
      <c r="H146" s="175">
        <v>0.08</v>
      </c>
      <c r="I146" s="175">
        <v>0.7</v>
      </c>
      <c r="J146" s="175">
        <v>28.4</v>
      </c>
      <c r="K146" s="175">
        <v>0.08</v>
      </c>
      <c r="L146" s="175">
        <v>0</v>
      </c>
      <c r="M146" s="175">
        <v>74.3</v>
      </c>
      <c r="N146" s="175">
        <v>19.3</v>
      </c>
      <c r="O146" s="175">
        <v>142.4</v>
      </c>
      <c r="P146" s="177">
        <v>1.23</v>
      </c>
      <c r="Q146" s="178">
        <v>75</v>
      </c>
      <c r="R146" s="178">
        <v>0.01</v>
      </c>
      <c r="S146" s="178">
        <v>5.4000000000000003E-3</v>
      </c>
      <c r="T146" s="178">
        <v>0.152</v>
      </c>
    </row>
    <row r="147" spans="1:20" x14ac:dyDescent="0.25">
      <c r="A147" s="48" t="s">
        <v>93</v>
      </c>
      <c r="B147" s="124" t="s">
        <v>25</v>
      </c>
      <c r="C147" s="127">
        <v>50</v>
      </c>
      <c r="D147" s="127">
        <f>3*1.52</f>
        <v>4.5600000000000005</v>
      </c>
      <c r="E147" s="127">
        <f>3*0.16</f>
        <v>0.48</v>
      </c>
      <c r="F147" s="127">
        <f>3*10.03</f>
        <v>30.089999999999996</v>
      </c>
      <c r="G147" s="169">
        <f t="shared" si="59"/>
        <v>142.91999999999999</v>
      </c>
      <c r="H147" s="127">
        <v>5.1999999999999998E-2</v>
      </c>
      <c r="I147" s="127">
        <v>0.4</v>
      </c>
      <c r="J147" s="127">
        <v>0</v>
      </c>
      <c r="K147" s="127">
        <v>0</v>
      </c>
      <c r="L147" s="127">
        <v>0</v>
      </c>
      <c r="M147" s="127">
        <v>5.8</v>
      </c>
      <c r="N147" s="127">
        <v>8.1999999999999993</v>
      </c>
      <c r="O147" s="127">
        <v>36.799999999999997</v>
      </c>
      <c r="P147" s="127">
        <v>0.44</v>
      </c>
      <c r="Q147" s="120">
        <v>18.2</v>
      </c>
      <c r="R147" s="120">
        <v>6.0000000000000001E-3</v>
      </c>
      <c r="S147" s="120">
        <v>1E-3</v>
      </c>
      <c r="T147" s="120">
        <v>0</v>
      </c>
    </row>
    <row r="148" spans="1:20" x14ac:dyDescent="0.25">
      <c r="A148" s="48" t="s">
        <v>94</v>
      </c>
      <c r="B148" s="3" t="s">
        <v>27</v>
      </c>
      <c r="C148" s="127">
        <v>50</v>
      </c>
      <c r="D148" s="127">
        <f>2*1.32</f>
        <v>2.64</v>
      </c>
      <c r="E148" s="127">
        <f>2*0.24</f>
        <v>0.48</v>
      </c>
      <c r="F148" s="127">
        <f>2*8.36</f>
        <v>16.72</v>
      </c>
      <c r="G148" s="169">
        <f t="shared" si="59"/>
        <v>81.759999999999991</v>
      </c>
      <c r="H148" s="127">
        <v>0.03</v>
      </c>
      <c r="I148" s="127">
        <v>0</v>
      </c>
      <c r="J148" s="127">
        <v>0</v>
      </c>
      <c r="K148" s="127">
        <v>0</v>
      </c>
      <c r="L148" s="127">
        <v>0</v>
      </c>
      <c r="M148" s="127">
        <v>5.08</v>
      </c>
      <c r="N148" s="127">
        <v>4.96</v>
      </c>
      <c r="O148" s="127">
        <v>40</v>
      </c>
      <c r="P148" s="127">
        <v>0.4</v>
      </c>
      <c r="Q148" s="120">
        <v>16.2</v>
      </c>
      <c r="R148" s="120">
        <v>6.0000000000000001E-3</v>
      </c>
      <c r="S148" s="120">
        <v>1E-3</v>
      </c>
      <c r="T148" s="120">
        <v>0</v>
      </c>
    </row>
    <row r="149" spans="1:20" ht="24" customHeight="1" x14ac:dyDescent="0.25">
      <c r="A149" s="49" t="s">
        <v>18</v>
      </c>
      <c r="B149" s="124"/>
      <c r="C149" s="119">
        <v>850</v>
      </c>
      <c r="D149" s="9">
        <f>SUM(D143:D148)</f>
        <v>38.28</v>
      </c>
      <c r="E149" s="9">
        <f>SUM(E143:E148)</f>
        <v>34.949999999999996</v>
      </c>
      <c r="F149" s="4">
        <f>SUM(F143:F148)</f>
        <v>136.19999999999999</v>
      </c>
      <c r="G149" s="9">
        <f>SUM(G143:G148)</f>
        <v>1012.4699999999999</v>
      </c>
      <c r="H149" s="5">
        <f>SUM(H143:H148)</f>
        <v>0.39200000000000002</v>
      </c>
      <c r="I149" s="5">
        <f t="shared" ref="I149:T149" si="60">SUM(I143:I148)</f>
        <v>24.519999999999996</v>
      </c>
      <c r="J149" s="5">
        <f t="shared" si="60"/>
        <v>380.07</v>
      </c>
      <c r="K149" s="5">
        <f t="shared" si="60"/>
        <v>0.65299999999999991</v>
      </c>
      <c r="L149" s="5">
        <f t="shared" si="60"/>
        <v>3.92</v>
      </c>
      <c r="M149" s="5">
        <f t="shared" si="60"/>
        <v>375.81</v>
      </c>
      <c r="N149" s="5">
        <f t="shared" si="60"/>
        <v>86.899999999999991</v>
      </c>
      <c r="O149" s="5">
        <f t="shared" si="60"/>
        <v>404.7</v>
      </c>
      <c r="P149" s="5">
        <f t="shared" si="60"/>
        <v>6.4300000000000006</v>
      </c>
      <c r="Q149" s="5">
        <f t="shared" si="60"/>
        <v>562.70000000000005</v>
      </c>
      <c r="R149" s="5">
        <f t="shared" si="60"/>
        <v>3.4999999999999996E-2</v>
      </c>
      <c r="S149" s="5">
        <f t="shared" si="60"/>
        <v>1.6800000000000002E-2</v>
      </c>
      <c r="T149" s="5">
        <f t="shared" si="60"/>
        <v>1.095</v>
      </c>
    </row>
    <row r="150" spans="1:20" ht="24" customHeight="1" x14ac:dyDescent="0.25">
      <c r="A150" s="244" t="s">
        <v>40</v>
      </c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4"/>
      <c r="N150" s="244"/>
      <c r="O150" s="244"/>
      <c r="P150" s="244"/>
      <c r="Q150" s="244"/>
      <c r="R150" s="244"/>
      <c r="S150" s="244"/>
      <c r="T150" s="244"/>
    </row>
    <row r="151" spans="1:20" ht="33" customHeight="1" x14ac:dyDescent="0.25">
      <c r="A151" s="166" t="s">
        <v>75</v>
      </c>
      <c r="B151" s="167" t="s">
        <v>212</v>
      </c>
      <c r="C151" s="169">
        <v>65</v>
      </c>
      <c r="D151" s="2">
        <v>8.42</v>
      </c>
      <c r="E151" s="2">
        <v>9.6</v>
      </c>
      <c r="F151" s="2">
        <v>56.17</v>
      </c>
      <c r="G151" s="2">
        <f t="shared" ref="G151:G153" si="61">(9*E151)+4*(F151+D151)</f>
        <v>344.76</v>
      </c>
      <c r="H151" s="169">
        <v>0.26</v>
      </c>
      <c r="I151" s="169">
        <v>1.9</v>
      </c>
      <c r="J151" s="169">
        <v>109.8</v>
      </c>
      <c r="K151" s="169">
        <v>0.3</v>
      </c>
      <c r="L151" s="169">
        <v>0.98</v>
      </c>
      <c r="M151" s="169">
        <v>113.2</v>
      </c>
      <c r="N151" s="169">
        <v>19.399999999999999</v>
      </c>
      <c r="O151" s="169">
        <v>81.599999999999994</v>
      </c>
      <c r="P151" s="170">
        <v>0.92</v>
      </c>
      <c r="Q151" s="164">
        <v>94</v>
      </c>
      <c r="R151" s="164">
        <v>7.0000000000000001E-3</v>
      </c>
      <c r="S151" s="164">
        <v>0.01</v>
      </c>
      <c r="T151" s="164">
        <v>0.8</v>
      </c>
    </row>
    <row r="152" spans="1:20" x14ac:dyDescent="0.25">
      <c r="A152" s="166" t="s">
        <v>125</v>
      </c>
      <c r="B152" s="168" t="s">
        <v>64</v>
      </c>
      <c r="C152" s="169">
        <v>100</v>
      </c>
      <c r="D152" s="169">
        <v>0.48</v>
      </c>
      <c r="E152" s="169">
        <v>0.48</v>
      </c>
      <c r="F152" s="169">
        <v>11.86</v>
      </c>
      <c r="G152" s="2">
        <f t="shared" si="61"/>
        <v>53.68</v>
      </c>
      <c r="H152" s="172">
        <v>0.03</v>
      </c>
      <c r="I152" s="172">
        <v>10</v>
      </c>
      <c r="J152" s="172">
        <v>0.03</v>
      </c>
      <c r="K152" s="172">
        <v>0.02</v>
      </c>
      <c r="L152" s="172">
        <v>0</v>
      </c>
      <c r="M152" s="172">
        <v>9.5</v>
      </c>
      <c r="N152" s="172">
        <v>7</v>
      </c>
      <c r="O152" s="172">
        <v>9.5</v>
      </c>
      <c r="P152" s="171">
        <v>0.8</v>
      </c>
      <c r="Q152" s="164">
        <v>0.4</v>
      </c>
      <c r="R152" s="164">
        <v>1.7000000000000001E-2</v>
      </c>
      <c r="S152" s="164">
        <v>0</v>
      </c>
      <c r="T152" s="164">
        <v>0.5</v>
      </c>
    </row>
    <row r="153" spans="1:20" x14ac:dyDescent="0.25">
      <c r="A153" s="166" t="s">
        <v>115</v>
      </c>
      <c r="B153" s="167" t="s">
        <v>30</v>
      </c>
      <c r="C153" s="169" t="s">
        <v>135</v>
      </c>
      <c r="D153" s="169">
        <v>0.04</v>
      </c>
      <c r="E153" s="169">
        <v>0</v>
      </c>
      <c r="F153" s="169">
        <v>10.119999999999999</v>
      </c>
      <c r="G153" s="2">
        <f t="shared" si="61"/>
        <v>40.639999999999993</v>
      </c>
      <c r="H153" s="169">
        <v>0.06</v>
      </c>
      <c r="I153" s="169">
        <v>0</v>
      </c>
      <c r="J153" s="169">
        <v>0</v>
      </c>
      <c r="K153" s="169">
        <v>0</v>
      </c>
      <c r="L153" s="169">
        <v>0</v>
      </c>
      <c r="M153" s="169">
        <v>10.16</v>
      </c>
      <c r="N153" s="169">
        <v>9.92</v>
      </c>
      <c r="O153" s="169">
        <v>80</v>
      </c>
      <c r="P153" s="170">
        <v>0.8</v>
      </c>
      <c r="Q153" s="164">
        <v>34</v>
      </c>
      <c r="R153" s="164">
        <v>0</v>
      </c>
      <c r="S153" s="164">
        <v>0</v>
      </c>
      <c r="T153" s="164">
        <v>0.2</v>
      </c>
    </row>
    <row r="154" spans="1:20" ht="24" customHeight="1" x14ac:dyDescent="0.25">
      <c r="A154" s="244" t="s">
        <v>18</v>
      </c>
      <c r="B154" s="245"/>
      <c r="C154" s="119">
        <v>380</v>
      </c>
      <c r="D154" s="9">
        <f>SUM(D151:D153)</f>
        <v>8.94</v>
      </c>
      <c r="E154" s="9">
        <f t="shared" ref="E154:G154" si="62">SUM(E151:E153)</f>
        <v>10.08</v>
      </c>
      <c r="F154" s="9">
        <f t="shared" si="62"/>
        <v>78.150000000000006</v>
      </c>
      <c r="G154" s="9">
        <f t="shared" si="62"/>
        <v>439.08</v>
      </c>
      <c r="H154" s="13">
        <f>SUM(H151:H153)</f>
        <v>0.35000000000000003</v>
      </c>
      <c r="I154" s="13">
        <f t="shared" ref="I154:T154" si="63">SUM(I151:I153)</f>
        <v>11.9</v>
      </c>
      <c r="J154" s="13">
        <f t="shared" si="63"/>
        <v>109.83</v>
      </c>
      <c r="K154" s="13">
        <f t="shared" si="63"/>
        <v>0.32</v>
      </c>
      <c r="L154" s="13">
        <f t="shared" si="63"/>
        <v>0.98</v>
      </c>
      <c r="M154" s="13">
        <f t="shared" si="63"/>
        <v>132.86000000000001</v>
      </c>
      <c r="N154" s="13">
        <f t="shared" si="63"/>
        <v>36.32</v>
      </c>
      <c r="O154" s="13">
        <f t="shared" si="63"/>
        <v>171.1</v>
      </c>
      <c r="P154" s="13">
        <f t="shared" si="63"/>
        <v>2.5200000000000005</v>
      </c>
      <c r="Q154" s="13">
        <f t="shared" si="63"/>
        <v>128.4</v>
      </c>
      <c r="R154" s="13">
        <f t="shared" si="63"/>
        <v>2.4E-2</v>
      </c>
      <c r="S154" s="13">
        <f t="shared" si="63"/>
        <v>0.01</v>
      </c>
      <c r="T154" s="13">
        <f t="shared" si="63"/>
        <v>1.5</v>
      </c>
    </row>
    <row r="155" spans="1:20" ht="24.75" customHeight="1" x14ac:dyDescent="0.25">
      <c r="A155" s="244" t="s">
        <v>20</v>
      </c>
      <c r="B155" s="245"/>
      <c r="C155" s="119">
        <f>+C141+C149+C154</f>
        <v>1800</v>
      </c>
      <c r="D155" s="9">
        <f t="shared" ref="D155:T155" si="64">D154+D149+D141</f>
        <v>71.3</v>
      </c>
      <c r="E155" s="9">
        <f t="shared" si="64"/>
        <v>72.72999999999999</v>
      </c>
      <c r="F155" s="9">
        <f t="shared" si="64"/>
        <v>305.95</v>
      </c>
      <c r="G155" s="9">
        <f>G154+G149+G141</f>
        <v>2163.5699999999997</v>
      </c>
      <c r="H155" s="5">
        <f>H154+H149+H141</f>
        <v>1.1519999999999999</v>
      </c>
      <c r="I155" s="5">
        <f t="shared" si="64"/>
        <v>55.379999999999995</v>
      </c>
      <c r="J155" s="5">
        <f t="shared" si="64"/>
        <v>708.2</v>
      </c>
      <c r="K155" s="5">
        <f t="shared" si="64"/>
        <v>1.3191999999999999</v>
      </c>
      <c r="L155" s="5">
        <f t="shared" si="64"/>
        <v>7.9</v>
      </c>
      <c r="M155" s="5">
        <f t="shared" si="64"/>
        <v>947.87000000000012</v>
      </c>
      <c r="N155" s="5">
        <f t="shared" si="64"/>
        <v>237.64999999999998</v>
      </c>
      <c r="O155" s="5">
        <f t="shared" si="64"/>
        <v>945.01</v>
      </c>
      <c r="P155" s="5">
        <f t="shared" si="64"/>
        <v>14.280000000000001</v>
      </c>
      <c r="Q155" s="5">
        <f t="shared" si="64"/>
        <v>945.7</v>
      </c>
      <c r="R155" s="5">
        <f t="shared" si="64"/>
        <v>8.1199999999999994E-2</v>
      </c>
      <c r="S155" s="5">
        <f t="shared" si="64"/>
        <v>4.4500000000000005E-2</v>
      </c>
      <c r="T155" s="5">
        <f t="shared" si="64"/>
        <v>3.9749999999999996</v>
      </c>
    </row>
    <row r="156" spans="1:20" ht="24" customHeight="1" x14ac:dyDescent="0.25">
      <c r="A156" s="282" t="s">
        <v>48</v>
      </c>
      <c r="B156" s="282"/>
      <c r="C156" s="282"/>
      <c r="D156" s="282"/>
      <c r="E156" s="282"/>
      <c r="F156" s="282"/>
      <c r="G156" s="282"/>
      <c r="H156" s="282"/>
      <c r="I156" s="282"/>
      <c r="J156" s="282"/>
      <c r="K156" s="282"/>
      <c r="L156" s="282"/>
      <c r="M156" s="282"/>
      <c r="N156" s="282"/>
      <c r="O156" s="282"/>
      <c r="P156" s="282"/>
      <c r="Q156" s="282"/>
      <c r="R156" s="282"/>
      <c r="S156" s="282"/>
      <c r="T156" s="282"/>
    </row>
    <row r="157" spans="1:20" ht="24" customHeight="1" x14ac:dyDescent="0.25">
      <c r="A157" s="244" t="s">
        <v>17</v>
      </c>
      <c r="B157" s="244"/>
      <c r="C157" s="244"/>
      <c r="D157" s="244"/>
      <c r="E157" s="244"/>
      <c r="F157" s="244"/>
      <c r="G157" s="244"/>
      <c r="H157" s="244"/>
      <c r="I157" s="244"/>
      <c r="J157" s="244"/>
      <c r="K157" s="244"/>
      <c r="L157" s="244"/>
      <c r="M157" s="244"/>
      <c r="N157" s="244"/>
      <c r="O157" s="244"/>
      <c r="P157" s="244"/>
      <c r="Q157" s="244"/>
      <c r="R157" s="244"/>
      <c r="S157" s="244"/>
      <c r="T157" s="244"/>
    </row>
    <row r="158" spans="1:20" ht="47.25" customHeight="1" x14ac:dyDescent="0.25">
      <c r="A158" s="123" t="s">
        <v>43</v>
      </c>
      <c r="B158" s="124" t="s">
        <v>143</v>
      </c>
      <c r="C158" s="127" t="s">
        <v>91</v>
      </c>
      <c r="D158" s="127">
        <v>4.5</v>
      </c>
      <c r="E158" s="127">
        <v>9.3000000000000007</v>
      </c>
      <c r="F158" s="127">
        <v>38.5</v>
      </c>
      <c r="G158" s="11">
        <f t="shared" ref="G158:G162" si="65">(9*E158)+4*(F158+D158)</f>
        <v>255.7</v>
      </c>
      <c r="H158" s="127">
        <v>0.34</v>
      </c>
      <c r="I158" s="127">
        <v>6</v>
      </c>
      <c r="J158" s="127">
        <v>163.80000000000001</v>
      </c>
      <c r="K158" s="127">
        <v>0.12</v>
      </c>
      <c r="L158" s="127">
        <v>2.1</v>
      </c>
      <c r="M158" s="127">
        <v>179.12</v>
      </c>
      <c r="N158" s="127">
        <v>46.22</v>
      </c>
      <c r="O158" s="127">
        <v>197.54</v>
      </c>
      <c r="P158" s="127">
        <v>3.42</v>
      </c>
      <c r="Q158" s="120">
        <v>156.19999999999999</v>
      </c>
      <c r="R158" s="120">
        <v>8.9999999999999993E-3</v>
      </c>
      <c r="S158" s="120">
        <v>1.2E-2</v>
      </c>
      <c r="T158" s="120">
        <v>0.47</v>
      </c>
    </row>
    <row r="159" spans="1:20" ht="19.5" customHeight="1" x14ac:dyDescent="0.25">
      <c r="A159" s="166" t="s">
        <v>177</v>
      </c>
      <c r="B159" s="167" t="s">
        <v>178</v>
      </c>
      <c r="C159" s="169">
        <v>200</v>
      </c>
      <c r="D159" s="169">
        <v>7.6</v>
      </c>
      <c r="E159" s="169">
        <v>7.4</v>
      </c>
      <c r="F159" s="169">
        <v>9.2799999999999994</v>
      </c>
      <c r="G159" s="11">
        <f t="shared" si="65"/>
        <v>134.12</v>
      </c>
      <c r="H159" s="169">
        <v>0</v>
      </c>
      <c r="I159" s="169">
        <v>0</v>
      </c>
      <c r="J159" s="169">
        <v>0</v>
      </c>
      <c r="K159" s="169">
        <v>0</v>
      </c>
      <c r="L159" s="169">
        <v>0</v>
      </c>
      <c r="M159" s="169">
        <v>94</v>
      </c>
      <c r="N159" s="169">
        <v>6</v>
      </c>
      <c r="O159" s="169">
        <v>8.24</v>
      </c>
      <c r="P159" s="170">
        <v>0.53</v>
      </c>
      <c r="Q159" s="164">
        <v>114</v>
      </c>
      <c r="R159" s="164">
        <v>0</v>
      </c>
      <c r="S159" s="164">
        <v>0</v>
      </c>
      <c r="T159" s="164">
        <v>0.2</v>
      </c>
    </row>
    <row r="160" spans="1:20" ht="19.5" customHeight="1" x14ac:dyDescent="0.25">
      <c r="A160" s="174" t="s">
        <v>191</v>
      </c>
      <c r="B160" s="1" t="s">
        <v>86</v>
      </c>
      <c r="C160" s="175">
        <v>40</v>
      </c>
      <c r="D160" s="175">
        <f>12.7*0.4</f>
        <v>5.08</v>
      </c>
      <c r="E160" s="175">
        <f>11.5*0.4</f>
        <v>4.6000000000000005</v>
      </c>
      <c r="F160" s="175">
        <f>0.7*0.4</f>
        <v>0.27999999999999997</v>
      </c>
      <c r="G160" s="11">
        <f t="shared" si="65"/>
        <v>62.84</v>
      </c>
      <c r="H160" s="169">
        <v>0.02</v>
      </c>
      <c r="I160" s="169">
        <v>5.5</v>
      </c>
      <c r="J160" s="169">
        <v>0</v>
      </c>
      <c r="K160" s="169">
        <v>0.17899999999999999</v>
      </c>
      <c r="L160" s="169">
        <v>0</v>
      </c>
      <c r="M160" s="169">
        <v>19.73</v>
      </c>
      <c r="N160" s="169">
        <v>12.22</v>
      </c>
      <c r="O160" s="169">
        <v>25.9</v>
      </c>
      <c r="P160" s="169">
        <v>0.7</v>
      </c>
      <c r="Q160" s="164">
        <v>68.400000000000006</v>
      </c>
      <c r="R160" s="164">
        <v>0</v>
      </c>
      <c r="S160" s="164">
        <v>0</v>
      </c>
      <c r="T160" s="164">
        <v>0</v>
      </c>
    </row>
    <row r="161" spans="1:20" x14ac:dyDescent="0.25">
      <c r="A161" s="165" t="s">
        <v>213</v>
      </c>
      <c r="B161" s="3" t="s">
        <v>83</v>
      </c>
      <c r="C161" s="169">
        <v>55</v>
      </c>
      <c r="D161" s="169">
        <v>1.83</v>
      </c>
      <c r="E161" s="169">
        <v>4.1500000000000004</v>
      </c>
      <c r="F161" s="169">
        <v>49.25</v>
      </c>
      <c r="G161" s="11">
        <f t="shared" si="65"/>
        <v>241.67</v>
      </c>
      <c r="H161" s="169">
        <v>0.2</v>
      </c>
      <c r="I161" s="169">
        <v>5.9</v>
      </c>
      <c r="J161" s="169">
        <v>54</v>
      </c>
      <c r="K161" s="169">
        <v>0.3</v>
      </c>
      <c r="L161" s="169">
        <v>0.8</v>
      </c>
      <c r="M161" s="169">
        <v>43</v>
      </c>
      <c r="N161" s="169">
        <v>4</v>
      </c>
      <c r="O161" s="169">
        <v>78.7</v>
      </c>
      <c r="P161" s="170">
        <v>0.82399999999999995</v>
      </c>
      <c r="Q161" s="164">
        <v>25</v>
      </c>
      <c r="R161" s="164">
        <v>0.02</v>
      </c>
      <c r="S161" s="164">
        <v>0</v>
      </c>
      <c r="T161" s="164">
        <v>0.5</v>
      </c>
    </row>
    <row r="162" spans="1:20" ht="24" customHeight="1" x14ac:dyDescent="0.25">
      <c r="A162" s="48" t="s">
        <v>93</v>
      </c>
      <c r="B162" s="124" t="s">
        <v>25</v>
      </c>
      <c r="C162" s="127">
        <v>50</v>
      </c>
      <c r="D162" s="127">
        <f>2*1.52</f>
        <v>3.04</v>
      </c>
      <c r="E162" s="127">
        <f>2*0.16</f>
        <v>0.32</v>
      </c>
      <c r="F162" s="127">
        <f>2*10.03</f>
        <v>20.059999999999999</v>
      </c>
      <c r="G162" s="11">
        <f t="shared" si="65"/>
        <v>95.279999999999987</v>
      </c>
      <c r="H162" s="127">
        <v>0.104</v>
      </c>
      <c r="I162" s="127">
        <v>0.8</v>
      </c>
      <c r="J162" s="127">
        <v>0</v>
      </c>
      <c r="K162" s="127">
        <v>0</v>
      </c>
      <c r="L162" s="127">
        <v>0</v>
      </c>
      <c r="M162" s="127">
        <v>15</v>
      </c>
      <c r="N162" s="127">
        <v>18.12</v>
      </c>
      <c r="O162" s="127">
        <v>40.159999999999997</v>
      </c>
      <c r="P162" s="127">
        <v>0.88</v>
      </c>
      <c r="Q162" s="120">
        <v>18.2</v>
      </c>
      <c r="R162" s="120">
        <v>6.0000000000000001E-3</v>
      </c>
      <c r="S162" s="120">
        <v>3.0000000000000001E-3</v>
      </c>
      <c r="T162" s="120">
        <v>0</v>
      </c>
    </row>
    <row r="163" spans="1:20" ht="24" customHeight="1" x14ac:dyDescent="0.25">
      <c r="A163" s="225" t="s">
        <v>18</v>
      </c>
      <c r="B163" s="240"/>
      <c r="C163" s="44">
        <v>575</v>
      </c>
      <c r="D163" s="9">
        <f t="shared" ref="D163:T163" si="66">SUM(D158:D162)</f>
        <v>22.049999999999997</v>
      </c>
      <c r="E163" s="9">
        <f t="shared" si="66"/>
        <v>25.770000000000003</v>
      </c>
      <c r="F163" s="4">
        <f t="shared" si="66"/>
        <v>117.37</v>
      </c>
      <c r="G163" s="9">
        <f>SUM(G158:G162)</f>
        <v>789.6099999999999</v>
      </c>
      <c r="H163" s="13">
        <f t="shared" si="66"/>
        <v>0.66400000000000003</v>
      </c>
      <c r="I163" s="13">
        <f t="shared" si="66"/>
        <v>18.2</v>
      </c>
      <c r="J163" s="13">
        <f t="shared" si="66"/>
        <v>217.8</v>
      </c>
      <c r="K163" s="13">
        <f t="shared" si="66"/>
        <v>0.59899999999999998</v>
      </c>
      <c r="L163" s="13">
        <f t="shared" si="66"/>
        <v>2.9000000000000004</v>
      </c>
      <c r="M163" s="13">
        <f t="shared" si="66"/>
        <v>350.85</v>
      </c>
      <c r="N163" s="13">
        <f t="shared" si="66"/>
        <v>86.56</v>
      </c>
      <c r="O163" s="13">
        <f t="shared" si="66"/>
        <v>350.53999999999996</v>
      </c>
      <c r="P163" s="13">
        <f t="shared" si="66"/>
        <v>6.3540000000000001</v>
      </c>
      <c r="Q163" s="13">
        <f t="shared" si="66"/>
        <v>381.8</v>
      </c>
      <c r="R163" s="13">
        <f t="shared" si="66"/>
        <v>3.4999999999999996E-2</v>
      </c>
      <c r="S163" s="13">
        <f t="shared" si="66"/>
        <v>1.4999999999999999E-2</v>
      </c>
      <c r="T163" s="13">
        <f t="shared" si="66"/>
        <v>1.17</v>
      </c>
    </row>
    <row r="164" spans="1:20" ht="24" customHeight="1" x14ac:dyDescent="0.25">
      <c r="A164" s="244" t="s">
        <v>19</v>
      </c>
      <c r="B164" s="244"/>
      <c r="C164" s="244"/>
      <c r="D164" s="244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  <c r="Q164" s="120"/>
      <c r="R164" s="120"/>
      <c r="S164" s="120"/>
      <c r="T164" s="120"/>
    </row>
    <row r="165" spans="1:20" ht="34.15" customHeight="1" x14ac:dyDescent="0.25">
      <c r="A165" s="166" t="s">
        <v>128</v>
      </c>
      <c r="B165" s="16" t="s">
        <v>214</v>
      </c>
      <c r="C165" s="162" t="s">
        <v>31</v>
      </c>
      <c r="D165" s="162">
        <v>9.35</v>
      </c>
      <c r="E165" s="162">
        <v>11.3</v>
      </c>
      <c r="F165" s="162">
        <f>11.57+0.36</f>
        <v>11.93</v>
      </c>
      <c r="G165" s="169">
        <f>F165*4+E165*9+D165*4</f>
        <v>186.82000000000002</v>
      </c>
      <c r="H165" s="162">
        <v>0.13</v>
      </c>
      <c r="I165" s="162">
        <v>13.1</v>
      </c>
      <c r="J165" s="162">
        <v>115.6</v>
      </c>
      <c r="K165" s="162">
        <v>0.54</v>
      </c>
      <c r="L165" s="162">
        <v>1.3</v>
      </c>
      <c r="M165" s="162">
        <v>122.09</v>
      </c>
      <c r="N165" s="162">
        <v>58.9</v>
      </c>
      <c r="O165" s="162">
        <v>104.4</v>
      </c>
      <c r="P165" s="163">
        <v>1.02</v>
      </c>
      <c r="Q165" s="164">
        <v>134.19999999999999</v>
      </c>
      <c r="R165" s="164">
        <v>0.02</v>
      </c>
      <c r="S165" s="164">
        <v>5.0000000000000001E-3</v>
      </c>
      <c r="T165" s="120">
        <v>0.05</v>
      </c>
    </row>
    <row r="166" spans="1:20" ht="34.15" customHeight="1" x14ac:dyDescent="0.25">
      <c r="A166" s="47" t="s">
        <v>242</v>
      </c>
      <c r="B166" s="1" t="s">
        <v>247</v>
      </c>
      <c r="C166" s="203" t="s">
        <v>248</v>
      </c>
      <c r="D166" s="175">
        <v>0</v>
      </c>
      <c r="E166" s="175">
        <v>0</v>
      </c>
      <c r="F166" s="175">
        <v>1</v>
      </c>
      <c r="G166" s="11">
        <f t="shared" ref="G166" si="67">(9*E166)+4*(F166+D166)</f>
        <v>4</v>
      </c>
      <c r="H166" s="213">
        <v>0</v>
      </c>
      <c r="I166" s="213">
        <v>0</v>
      </c>
      <c r="J166" s="213">
        <v>35.6</v>
      </c>
      <c r="K166" s="213">
        <v>0</v>
      </c>
      <c r="L166" s="213">
        <v>0</v>
      </c>
      <c r="M166" s="213">
        <v>5</v>
      </c>
      <c r="N166" s="213">
        <v>0</v>
      </c>
      <c r="O166" s="213">
        <v>4</v>
      </c>
      <c r="P166" s="213">
        <v>0.24</v>
      </c>
      <c r="Q166" s="212">
        <v>50.5</v>
      </c>
      <c r="R166" s="212">
        <v>0</v>
      </c>
      <c r="S166" s="212">
        <v>0</v>
      </c>
      <c r="T166" s="212">
        <v>0</v>
      </c>
    </row>
    <row r="167" spans="1:20" x14ac:dyDescent="0.25">
      <c r="A167" s="166" t="s">
        <v>122</v>
      </c>
      <c r="B167" s="167" t="s">
        <v>69</v>
      </c>
      <c r="C167" s="169" t="s">
        <v>32</v>
      </c>
      <c r="D167" s="169">
        <v>16.3</v>
      </c>
      <c r="E167" s="169">
        <v>18.98</v>
      </c>
      <c r="F167" s="169">
        <v>43.6</v>
      </c>
      <c r="G167" s="169">
        <f t="shared" ref="G167:G170" si="68">F167*4+E167*9+D167*4</f>
        <v>410.42</v>
      </c>
      <c r="H167" s="169">
        <v>0</v>
      </c>
      <c r="I167" s="169">
        <v>0.1</v>
      </c>
      <c r="J167" s="169">
        <v>139.4</v>
      </c>
      <c r="K167" s="169">
        <v>0</v>
      </c>
      <c r="L167" s="169">
        <v>2.2799999999999998</v>
      </c>
      <c r="M167" s="169">
        <v>60.95</v>
      </c>
      <c r="N167" s="169">
        <v>4.4000000000000004</v>
      </c>
      <c r="O167" s="169">
        <v>152.24</v>
      </c>
      <c r="P167" s="169">
        <v>0.86</v>
      </c>
      <c r="Q167" s="164">
        <v>164.3</v>
      </c>
      <c r="R167" s="164">
        <v>1E-3</v>
      </c>
      <c r="S167" s="164">
        <v>2E-3</v>
      </c>
      <c r="T167" s="164">
        <v>0.7</v>
      </c>
    </row>
    <row r="168" spans="1:20" ht="31.5" x14ac:dyDescent="0.25">
      <c r="A168" s="47" t="s">
        <v>245</v>
      </c>
      <c r="B168" s="1" t="s">
        <v>215</v>
      </c>
      <c r="C168" s="175">
        <v>200</v>
      </c>
      <c r="D168" s="175">
        <f>0.16*2</f>
        <v>0.32</v>
      </c>
      <c r="E168" s="175">
        <f>0.06*2</f>
        <v>0.12</v>
      </c>
      <c r="F168" s="175">
        <f>7.83*2</f>
        <v>15.66</v>
      </c>
      <c r="G168" s="169">
        <f t="shared" si="68"/>
        <v>65</v>
      </c>
      <c r="H168" s="175">
        <v>4.8000000000000001E-2</v>
      </c>
      <c r="I168" s="175">
        <v>4</v>
      </c>
      <c r="J168" s="175">
        <v>0</v>
      </c>
      <c r="K168" s="175">
        <v>0</v>
      </c>
      <c r="L168" s="175">
        <v>0</v>
      </c>
      <c r="M168" s="175">
        <v>8.0500000000000007</v>
      </c>
      <c r="N168" s="175">
        <v>5.24</v>
      </c>
      <c r="O168" s="175">
        <v>9.7799999999999994</v>
      </c>
      <c r="P168" s="175">
        <v>0.19</v>
      </c>
      <c r="Q168" s="178">
        <v>5</v>
      </c>
      <c r="R168" s="178">
        <v>0</v>
      </c>
      <c r="S168" s="178">
        <v>0</v>
      </c>
      <c r="T168" s="178">
        <v>0.2</v>
      </c>
    </row>
    <row r="169" spans="1:20" x14ac:dyDescent="0.25">
      <c r="A169" s="48" t="s">
        <v>93</v>
      </c>
      <c r="B169" s="167" t="s">
        <v>25</v>
      </c>
      <c r="C169" s="169">
        <v>50</v>
      </c>
      <c r="D169" s="169">
        <v>4.5600000000000005</v>
      </c>
      <c r="E169" s="169">
        <v>0.48</v>
      </c>
      <c r="F169" s="169">
        <v>30.089999999999996</v>
      </c>
      <c r="G169" s="169">
        <f t="shared" si="68"/>
        <v>142.91999999999999</v>
      </c>
      <c r="H169" s="169">
        <v>0.12</v>
      </c>
      <c r="I169" s="169">
        <v>0.4</v>
      </c>
      <c r="J169" s="169">
        <v>0</v>
      </c>
      <c r="K169" s="169">
        <v>0</v>
      </c>
      <c r="L169" s="169">
        <v>0</v>
      </c>
      <c r="M169" s="169">
        <v>5.8</v>
      </c>
      <c r="N169" s="169">
        <v>9.6</v>
      </c>
      <c r="O169" s="169">
        <v>36.799999999999997</v>
      </c>
      <c r="P169" s="169">
        <v>0.44</v>
      </c>
      <c r="Q169" s="164">
        <v>27.3</v>
      </c>
      <c r="R169" s="164">
        <v>8.9999999999999993E-3</v>
      </c>
      <c r="S169" s="164">
        <v>0</v>
      </c>
      <c r="T169" s="164">
        <v>0</v>
      </c>
    </row>
    <row r="170" spans="1:20" x14ac:dyDescent="0.25">
      <c r="A170" s="48" t="s">
        <v>94</v>
      </c>
      <c r="B170" s="3" t="s">
        <v>27</v>
      </c>
      <c r="C170" s="169">
        <v>50</v>
      </c>
      <c r="D170" s="169">
        <v>2.64</v>
      </c>
      <c r="E170" s="169">
        <v>0.48</v>
      </c>
      <c r="F170" s="169">
        <v>16.72</v>
      </c>
      <c r="G170" s="169">
        <f t="shared" si="68"/>
        <v>81.759999999999991</v>
      </c>
      <c r="H170" s="169">
        <v>0.03</v>
      </c>
      <c r="I170" s="169">
        <v>0</v>
      </c>
      <c r="J170" s="169">
        <v>0</v>
      </c>
      <c r="K170" s="169">
        <v>0</v>
      </c>
      <c r="L170" s="169">
        <v>0</v>
      </c>
      <c r="M170" s="169">
        <v>5.08</v>
      </c>
      <c r="N170" s="169">
        <v>4.96</v>
      </c>
      <c r="O170" s="169">
        <v>40</v>
      </c>
      <c r="P170" s="169">
        <v>0.4</v>
      </c>
      <c r="Q170" s="164">
        <v>16.2</v>
      </c>
      <c r="R170" s="164">
        <v>6.0000000000000001E-3</v>
      </c>
      <c r="S170" s="164">
        <v>1E-3</v>
      </c>
      <c r="T170" s="164">
        <v>0</v>
      </c>
    </row>
    <row r="171" spans="1:20" ht="24" customHeight="1" x14ac:dyDescent="0.25">
      <c r="A171" s="225" t="s">
        <v>18</v>
      </c>
      <c r="B171" s="266"/>
      <c r="C171" s="119">
        <v>785</v>
      </c>
      <c r="D171" s="4">
        <f t="shared" ref="D171:T171" si="69">SUM(D165:D170)</f>
        <v>33.17</v>
      </c>
      <c r="E171" s="4">
        <f t="shared" si="69"/>
        <v>31.360000000000003</v>
      </c>
      <c r="F171" s="4">
        <f t="shared" si="69"/>
        <v>119</v>
      </c>
      <c r="G171" s="4">
        <f>SUM(G165:G170)</f>
        <v>890.92</v>
      </c>
      <c r="H171" s="13">
        <f t="shared" si="69"/>
        <v>0.32799999999999996</v>
      </c>
      <c r="I171" s="13">
        <f t="shared" si="69"/>
        <v>17.599999999999998</v>
      </c>
      <c r="J171" s="13">
        <f t="shared" si="69"/>
        <v>290.60000000000002</v>
      </c>
      <c r="K171" s="13">
        <f t="shared" si="69"/>
        <v>0.54</v>
      </c>
      <c r="L171" s="13">
        <f t="shared" si="69"/>
        <v>3.58</v>
      </c>
      <c r="M171" s="13">
        <f t="shared" si="69"/>
        <v>206.97000000000006</v>
      </c>
      <c r="N171" s="13">
        <f t="shared" si="69"/>
        <v>83.09999999999998</v>
      </c>
      <c r="O171" s="13">
        <f t="shared" si="69"/>
        <v>347.21999999999997</v>
      </c>
      <c r="P171" s="13">
        <f t="shared" si="69"/>
        <v>3.15</v>
      </c>
      <c r="Q171" s="13">
        <f t="shared" si="69"/>
        <v>397.5</v>
      </c>
      <c r="R171" s="13">
        <f t="shared" si="69"/>
        <v>3.5999999999999997E-2</v>
      </c>
      <c r="S171" s="13">
        <f t="shared" si="69"/>
        <v>8.0000000000000002E-3</v>
      </c>
      <c r="T171" s="13">
        <f t="shared" si="69"/>
        <v>0.95</v>
      </c>
    </row>
    <row r="172" spans="1:20" x14ac:dyDescent="0.25">
      <c r="A172" s="244" t="s">
        <v>40</v>
      </c>
      <c r="B172" s="244"/>
      <c r="C172" s="244"/>
      <c r="D172" s="244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4"/>
      <c r="Q172" s="120"/>
      <c r="R172" s="120"/>
      <c r="S172" s="120"/>
      <c r="T172" s="120"/>
    </row>
    <row r="173" spans="1:20" ht="35.450000000000003" customHeight="1" x14ac:dyDescent="0.25">
      <c r="A173" s="53" t="s">
        <v>118</v>
      </c>
      <c r="B173" s="167" t="s">
        <v>42</v>
      </c>
      <c r="C173" s="169">
        <v>200</v>
      </c>
      <c r="D173" s="169">
        <v>5.6</v>
      </c>
      <c r="E173" s="169">
        <v>5</v>
      </c>
      <c r="F173" s="169">
        <v>18.989999999999998</v>
      </c>
      <c r="G173" s="2">
        <f>F173*4+E173*9+D173*4</f>
        <v>143.35999999999999</v>
      </c>
      <c r="H173" s="169">
        <v>0.06</v>
      </c>
      <c r="I173" s="169">
        <v>2</v>
      </c>
      <c r="J173" s="169">
        <v>24.6</v>
      </c>
      <c r="K173" s="169">
        <v>0.12</v>
      </c>
      <c r="L173" s="169">
        <v>0</v>
      </c>
      <c r="M173" s="169">
        <v>248</v>
      </c>
      <c r="N173" s="169">
        <v>30</v>
      </c>
      <c r="O173" s="169">
        <v>190</v>
      </c>
      <c r="P173" s="170">
        <v>0.2</v>
      </c>
      <c r="Q173" s="164">
        <v>0</v>
      </c>
      <c r="R173" s="164">
        <v>0</v>
      </c>
      <c r="S173" s="164">
        <v>0</v>
      </c>
      <c r="T173" s="164">
        <v>0</v>
      </c>
    </row>
    <row r="174" spans="1:20" ht="31.5" x14ac:dyDescent="0.25">
      <c r="A174" s="165" t="s">
        <v>132</v>
      </c>
      <c r="B174" s="167" t="s">
        <v>71</v>
      </c>
      <c r="C174" s="169" t="s">
        <v>142</v>
      </c>
      <c r="D174" s="2">
        <v>7.98</v>
      </c>
      <c r="E174" s="2">
        <v>6.75</v>
      </c>
      <c r="F174" s="2">
        <v>18.3</v>
      </c>
      <c r="G174" s="2">
        <f>F174*4+E174*9+D174*4</f>
        <v>165.87</v>
      </c>
      <c r="H174" s="169">
        <v>0.04</v>
      </c>
      <c r="I174" s="169">
        <v>13</v>
      </c>
      <c r="J174" s="169">
        <v>148.19999999999999</v>
      </c>
      <c r="K174" s="169">
        <v>5.6000000000000001E-2</v>
      </c>
      <c r="L174" s="169">
        <v>0.27</v>
      </c>
      <c r="M174" s="169">
        <v>106.9</v>
      </c>
      <c r="N174" s="169">
        <v>12.85</v>
      </c>
      <c r="O174" s="169">
        <v>29.82</v>
      </c>
      <c r="P174" s="170">
        <v>3.452</v>
      </c>
      <c r="Q174" s="164">
        <v>104.87</v>
      </c>
      <c r="R174" s="164">
        <v>1.4999999999999999E-2</v>
      </c>
      <c r="S174" s="164">
        <v>1.4E-2</v>
      </c>
      <c r="T174" s="164">
        <v>1</v>
      </c>
    </row>
    <row r="175" spans="1:20" x14ac:dyDescent="0.25">
      <c r="A175" s="47" t="s">
        <v>195</v>
      </c>
      <c r="B175" s="1" t="s">
        <v>216</v>
      </c>
      <c r="C175" s="175">
        <v>40</v>
      </c>
      <c r="D175" s="185">
        <v>2.4</v>
      </c>
      <c r="E175" s="185">
        <v>3.3</v>
      </c>
      <c r="F175" s="185">
        <v>29.2</v>
      </c>
      <c r="G175" s="2">
        <f>F175*4+E175*9+D175*4</f>
        <v>156.1</v>
      </c>
      <c r="H175" s="175">
        <v>0.09</v>
      </c>
      <c r="I175" s="175">
        <v>5.0999999999999996</v>
      </c>
      <c r="J175" s="175">
        <v>27.5</v>
      </c>
      <c r="K175" s="175">
        <v>3.4000000000000002E-2</v>
      </c>
      <c r="L175" s="175">
        <v>1.2</v>
      </c>
      <c r="M175" s="175">
        <v>33.049999999999997</v>
      </c>
      <c r="N175" s="175">
        <v>24.7</v>
      </c>
      <c r="O175" s="175">
        <v>28.35</v>
      </c>
      <c r="P175" s="177">
        <v>1.06</v>
      </c>
      <c r="Q175" s="178">
        <v>66.7</v>
      </c>
      <c r="R175" s="178">
        <v>2E-3</v>
      </c>
      <c r="S175" s="178">
        <v>3.0000000000000001E-3</v>
      </c>
      <c r="T175" s="178">
        <v>0.28000000000000003</v>
      </c>
    </row>
    <row r="176" spans="1:20" ht="24" customHeight="1" x14ac:dyDescent="0.25">
      <c r="A176" s="244" t="s">
        <v>18</v>
      </c>
      <c r="B176" s="245"/>
      <c r="C176" s="119">
        <v>410</v>
      </c>
      <c r="D176" s="68">
        <f t="shared" ref="D176:T176" si="70">SUM(D173:D175)</f>
        <v>15.98</v>
      </c>
      <c r="E176" s="68">
        <f t="shared" si="70"/>
        <v>15.05</v>
      </c>
      <c r="F176" s="208">
        <f t="shared" si="70"/>
        <v>66.489999999999995</v>
      </c>
      <c r="G176" s="208">
        <f>SUM(G173:G175)</f>
        <v>465.33000000000004</v>
      </c>
      <c r="H176" s="119">
        <f t="shared" si="70"/>
        <v>0.19</v>
      </c>
      <c r="I176" s="119">
        <f t="shared" si="70"/>
        <v>20.100000000000001</v>
      </c>
      <c r="J176" s="119">
        <f t="shared" si="70"/>
        <v>200.29999999999998</v>
      </c>
      <c r="K176" s="119">
        <f t="shared" si="70"/>
        <v>0.21</v>
      </c>
      <c r="L176" s="119">
        <f t="shared" si="70"/>
        <v>1.47</v>
      </c>
      <c r="M176" s="119">
        <f t="shared" si="70"/>
        <v>387.95</v>
      </c>
      <c r="N176" s="119">
        <f t="shared" si="70"/>
        <v>67.55</v>
      </c>
      <c r="O176" s="119">
        <f t="shared" si="70"/>
        <v>248.17</v>
      </c>
      <c r="P176" s="119">
        <f t="shared" si="70"/>
        <v>4.7119999999999997</v>
      </c>
      <c r="Q176" s="119">
        <f t="shared" si="70"/>
        <v>171.57</v>
      </c>
      <c r="R176" s="119">
        <f t="shared" si="70"/>
        <v>1.7000000000000001E-2</v>
      </c>
      <c r="S176" s="119">
        <f t="shared" si="70"/>
        <v>1.7000000000000001E-2</v>
      </c>
      <c r="T176" s="119">
        <f t="shared" si="70"/>
        <v>1.28</v>
      </c>
    </row>
    <row r="177" spans="1:20" ht="24" customHeight="1" x14ac:dyDescent="0.25">
      <c r="A177" s="244" t="s">
        <v>20</v>
      </c>
      <c r="B177" s="245"/>
      <c r="C177" s="119">
        <f>+C163+C171+C176</f>
        <v>1770</v>
      </c>
      <c r="D177" s="9">
        <f t="shared" ref="D177:T177" si="71">D176+D171+D163</f>
        <v>71.2</v>
      </c>
      <c r="E177" s="9">
        <f t="shared" si="71"/>
        <v>72.180000000000007</v>
      </c>
      <c r="F177" s="9">
        <f t="shared" si="71"/>
        <v>302.86</v>
      </c>
      <c r="G177" s="9">
        <f>G176+G171+G163</f>
        <v>2145.8599999999997</v>
      </c>
      <c r="H177" s="38">
        <f t="shared" si="71"/>
        <v>1.1819999999999999</v>
      </c>
      <c r="I177" s="38">
        <f t="shared" si="71"/>
        <v>55.900000000000006</v>
      </c>
      <c r="J177" s="38">
        <f t="shared" si="71"/>
        <v>708.7</v>
      </c>
      <c r="K177" s="38">
        <f t="shared" si="71"/>
        <v>1.349</v>
      </c>
      <c r="L177" s="38">
        <f t="shared" si="71"/>
        <v>7.95</v>
      </c>
      <c r="M177" s="38">
        <f t="shared" si="71"/>
        <v>945.7700000000001</v>
      </c>
      <c r="N177" s="38">
        <f t="shared" si="71"/>
        <v>237.20999999999998</v>
      </c>
      <c r="O177" s="38">
        <f t="shared" si="71"/>
        <v>945.93</v>
      </c>
      <c r="P177" s="38">
        <f t="shared" si="71"/>
        <v>14.216000000000001</v>
      </c>
      <c r="Q177" s="38">
        <f t="shared" si="71"/>
        <v>950.86999999999989</v>
      </c>
      <c r="R177" s="38">
        <f t="shared" si="71"/>
        <v>8.7999999999999995E-2</v>
      </c>
      <c r="S177" s="38">
        <f t="shared" si="71"/>
        <v>0.04</v>
      </c>
      <c r="T177" s="38">
        <f t="shared" si="71"/>
        <v>3.4</v>
      </c>
    </row>
    <row r="178" spans="1:20" ht="24" customHeight="1" x14ac:dyDescent="0.25">
      <c r="A178" s="279" t="s">
        <v>22</v>
      </c>
      <c r="B178" s="279"/>
      <c r="C178" s="279"/>
      <c r="D178" s="279"/>
      <c r="E178" s="279"/>
      <c r="F178" s="279"/>
      <c r="G178" s="279"/>
      <c r="H178" s="279"/>
      <c r="I178" s="279"/>
      <c r="J178" s="279"/>
      <c r="K178" s="279"/>
      <c r="L178" s="279"/>
      <c r="M178" s="279"/>
      <c r="N178" s="279"/>
      <c r="O178" s="279"/>
      <c r="P178" s="279"/>
      <c r="Q178" s="279"/>
      <c r="R178" s="279"/>
      <c r="S178" s="279"/>
      <c r="T178" s="279"/>
    </row>
    <row r="179" spans="1:20" ht="24" customHeight="1" x14ac:dyDescent="0.25">
      <c r="A179" s="244" t="s">
        <v>17</v>
      </c>
      <c r="B179" s="244"/>
      <c r="C179" s="244"/>
      <c r="D179" s="244"/>
      <c r="E179" s="244"/>
      <c r="F179" s="244"/>
      <c r="G179" s="244"/>
      <c r="H179" s="244"/>
      <c r="I179" s="244"/>
      <c r="J179" s="244"/>
      <c r="K179" s="244"/>
      <c r="L179" s="244"/>
      <c r="M179" s="244"/>
      <c r="N179" s="244"/>
      <c r="O179" s="244"/>
      <c r="P179" s="244"/>
      <c r="Q179" s="244"/>
      <c r="R179" s="244"/>
      <c r="S179" s="244"/>
      <c r="T179" s="244"/>
    </row>
    <row r="180" spans="1:20" ht="33" customHeight="1" x14ac:dyDescent="0.25">
      <c r="A180" s="166" t="s">
        <v>101</v>
      </c>
      <c r="B180" s="167" t="s">
        <v>145</v>
      </c>
      <c r="C180" s="169" t="s">
        <v>91</v>
      </c>
      <c r="D180" s="169">
        <v>7.3</v>
      </c>
      <c r="E180" s="169">
        <v>12.5</v>
      </c>
      <c r="F180" s="169">
        <v>26.89</v>
      </c>
      <c r="G180" s="199">
        <f t="shared" ref="G180:G181" si="72">(9*E180)+4*(F180+D180)</f>
        <v>249.26</v>
      </c>
      <c r="H180" s="169">
        <v>0.32</v>
      </c>
      <c r="I180" s="169">
        <v>0.06</v>
      </c>
      <c r="J180" s="169">
        <v>168.6</v>
      </c>
      <c r="K180" s="169">
        <v>0.122</v>
      </c>
      <c r="L180" s="169">
        <v>0</v>
      </c>
      <c r="M180" s="169">
        <v>173.24</v>
      </c>
      <c r="N180" s="169">
        <v>34.76</v>
      </c>
      <c r="O180" s="169">
        <v>167.78</v>
      </c>
      <c r="P180" s="169">
        <v>2.66</v>
      </c>
      <c r="Q180" s="164">
        <v>143.80000000000001</v>
      </c>
      <c r="R180" s="164">
        <v>4.0000000000000001E-3</v>
      </c>
      <c r="S180" s="164">
        <v>1.5E-3</v>
      </c>
      <c r="T180" s="164">
        <v>1.2999999999999999E-2</v>
      </c>
    </row>
    <row r="181" spans="1:20" ht="25.5" x14ac:dyDescent="0.25">
      <c r="A181" s="48" t="s">
        <v>98</v>
      </c>
      <c r="B181" s="167" t="s">
        <v>80</v>
      </c>
      <c r="C181" s="169" t="s">
        <v>81</v>
      </c>
      <c r="D181" s="169">
        <v>8.7899999999999991</v>
      </c>
      <c r="E181" s="169">
        <v>6.22</v>
      </c>
      <c r="F181" s="169">
        <v>28</v>
      </c>
      <c r="G181" s="199">
        <f t="shared" si="72"/>
        <v>203.14</v>
      </c>
      <c r="H181" s="169">
        <v>0.03</v>
      </c>
      <c r="I181" s="169">
        <v>0.03</v>
      </c>
      <c r="J181" s="169">
        <v>0.5</v>
      </c>
      <c r="K181" s="169">
        <v>0.18</v>
      </c>
      <c r="L181" s="169">
        <v>0.05</v>
      </c>
      <c r="M181" s="169">
        <v>33</v>
      </c>
      <c r="N181" s="169">
        <v>9</v>
      </c>
      <c r="O181" s="169">
        <v>11</v>
      </c>
      <c r="P181" s="169">
        <v>0.6</v>
      </c>
      <c r="Q181" s="164">
        <v>10.199999999999999</v>
      </c>
      <c r="R181" s="164">
        <v>0</v>
      </c>
      <c r="S181" s="164">
        <v>1E-3</v>
      </c>
      <c r="T181" s="164">
        <v>0.01</v>
      </c>
    </row>
    <row r="182" spans="1:20" x14ac:dyDescent="0.25">
      <c r="A182" s="115"/>
      <c r="B182" s="167" t="s">
        <v>192</v>
      </c>
      <c r="C182" s="169">
        <v>30</v>
      </c>
      <c r="D182" s="169">
        <v>1.2</v>
      </c>
      <c r="E182" s="169">
        <v>0.7</v>
      </c>
      <c r="F182" s="169">
        <v>12.6</v>
      </c>
      <c r="G182" s="169">
        <f>(9*E182)+4*(F182+D182)</f>
        <v>61.499999999999993</v>
      </c>
      <c r="H182" s="169">
        <v>0.03</v>
      </c>
      <c r="I182" s="169">
        <v>8.4</v>
      </c>
      <c r="J182" s="169">
        <v>50</v>
      </c>
      <c r="K182" s="169">
        <v>0</v>
      </c>
      <c r="L182" s="169">
        <v>2.41</v>
      </c>
      <c r="M182" s="169">
        <v>89.7</v>
      </c>
      <c r="N182" s="169">
        <v>16</v>
      </c>
      <c r="O182" s="169">
        <v>91.3</v>
      </c>
      <c r="P182" s="170">
        <v>0.08</v>
      </c>
      <c r="Q182" s="164">
        <v>57.4</v>
      </c>
      <c r="R182" s="164">
        <v>0.01</v>
      </c>
      <c r="S182" s="164">
        <v>3.5000000000000001E-3</v>
      </c>
      <c r="T182" s="164">
        <v>0.55000000000000004</v>
      </c>
    </row>
    <row r="183" spans="1:20" ht="24" customHeight="1" x14ac:dyDescent="0.25">
      <c r="A183" s="166" t="s">
        <v>75</v>
      </c>
      <c r="B183" s="167" t="s">
        <v>160</v>
      </c>
      <c r="C183" s="169" t="s">
        <v>56</v>
      </c>
      <c r="D183" s="169">
        <v>0</v>
      </c>
      <c r="E183" s="169">
        <v>0</v>
      </c>
      <c r="F183" s="169">
        <v>9.98</v>
      </c>
      <c r="G183" s="199">
        <f t="shared" ref="G183:G184" si="73">(9*E183)+4*(F183+D183)</f>
        <v>39.92</v>
      </c>
      <c r="H183" s="169">
        <v>0</v>
      </c>
      <c r="I183" s="169">
        <v>0</v>
      </c>
      <c r="J183" s="169">
        <v>0</v>
      </c>
      <c r="K183" s="169">
        <v>0</v>
      </c>
      <c r="L183" s="169">
        <v>0</v>
      </c>
      <c r="M183" s="169">
        <v>12</v>
      </c>
      <c r="N183" s="169">
        <v>6</v>
      </c>
      <c r="O183" s="169">
        <v>8.24</v>
      </c>
      <c r="P183" s="170">
        <v>0.86</v>
      </c>
      <c r="Q183" s="164">
        <v>24</v>
      </c>
      <c r="R183" s="164">
        <v>0</v>
      </c>
      <c r="S183" s="164">
        <v>0</v>
      </c>
      <c r="T183" s="164">
        <v>0.2</v>
      </c>
    </row>
    <row r="184" spans="1:20" x14ac:dyDescent="0.25">
      <c r="A184" s="48" t="s">
        <v>93</v>
      </c>
      <c r="B184" s="167" t="s">
        <v>25</v>
      </c>
      <c r="C184" s="169">
        <v>50</v>
      </c>
      <c r="D184" s="169">
        <f>3*1.52</f>
        <v>4.5600000000000005</v>
      </c>
      <c r="E184" s="169">
        <f>3*0.16</f>
        <v>0.48</v>
      </c>
      <c r="F184" s="169">
        <f>3*10.03</f>
        <v>30.089999999999996</v>
      </c>
      <c r="G184" s="199">
        <f t="shared" si="73"/>
        <v>142.91999999999999</v>
      </c>
      <c r="H184" s="169">
        <v>5.1999999999999998E-2</v>
      </c>
      <c r="I184" s="169">
        <v>0.4</v>
      </c>
      <c r="J184" s="169">
        <v>0</v>
      </c>
      <c r="K184" s="169">
        <v>0</v>
      </c>
      <c r="L184" s="169">
        <v>0</v>
      </c>
      <c r="M184" s="169">
        <v>15</v>
      </c>
      <c r="N184" s="169">
        <v>8.1999999999999993</v>
      </c>
      <c r="O184" s="169">
        <v>36.799999999999997</v>
      </c>
      <c r="P184" s="169">
        <v>0.44</v>
      </c>
      <c r="Q184" s="164">
        <v>18.2</v>
      </c>
      <c r="R184" s="164">
        <v>6.0000000000000001E-3</v>
      </c>
      <c r="S184" s="164">
        <v>1E-3</v>
      </c>
      <c r="T184" s="164">
        <v>0</v>
      </c>
    </row>
    <row r="185" spans="1:20" x14ac:dyDescent="0.25">
      <c r="A185" s="244" t="s">
        <v>18</v>
      </c>
      <c r="B185" s="245"/>
      <c r="C185" s="44">
        <v>545</v>
      </c>
      <c r="D185" s="9">
        <f t="shared" ref="D185:T185" si="74">SUM(D180:D184)</f>
        <v>21.85</v>
      </c>
      <c r="E185" s="9">
        <f t="shared" si="74"/>
        <v>19.899999999999999</v>
      </c>
      <c r="F185" s="9">
        <f t="shared" si="74"/>
        <v>107.56</v>
      </c>
      <c r="G185" s="9">
        <f>SUM(G180:G184)</f>
        <v>696.7399999999999</v>
      </c>
      <c r="H185" s="10">
        <f t="shared" si="74"/>
        <v>0.432</v>
      </c>
      <c r="I185" s="10">
        <f t="shared" si="74"/>
        <v>8.89</v>
      </c>
      <c r="J185" s="10">
        <f t="shared" si="74"/>
        <v>219.1</v>
      </c>
      <c r="K185" s="10">
        <f t="shared" si="74"/>
        <v>0.30199999999999999</v>
      </c>
      <c r="L185" s="10">
        <f t="shared" si="74"/>
        <v>2.46</v>
      </c>
      <c r="M185" s="10">
        <f t="shared" si="74"/>
        <v>322.94</v>
      </c>
      <c r="N185" s="10">
        <f t="shared" si="74"/>
        <v>73.959999999999994</v>
      </c>
      <c r="O185" s="10">
        <f t="shared" si="74"/>
        <v>315.12</v>
      </c>
      <c r="P185" s="10">
        <f t="shared" si="74"/>
        <v>4.6400000000000006</v>
      </c>
      <c r="Q185" s="10">
        <f t="shared" si="74"/>
        <v>253.6</v>
      </c>
      <c r="R185" s="10">
        <f t="shared" si="74"/>
        <v>0.02</v>
      </c>
      <c r="S185" s="10">
        <f>SUM(S180:S184)</f>
        <v>7.0000000000000001E-3</v>
      </c>
      <c r="T185" s="10">
        <f t="shared" si="74"/>
        <v>0.77300000000000013</v>
      </c>
    </row>
    <row r="186" spans="1:20" x14ac:dyDescent="0.25">
      <c r="A186" s="244" t="s">
        <v>19</v>
      </c>
      <c r="B186" s="244"/>
      <c r="C186" s="244"/>
      <c r="D186" s="244"/>
      <c r="E186" s="244"/>
      <c r="F186" s="244"/>
      <c r="G186" s="244"/>
      <c r="H186" s="244"/>
      <c r="I186" s="244"/>
      <c r="J186" s="244"/>
      <c r="K186" s="244"/>
      <c r="L186" s="244"/>
      <c r="M186" s="244"/>
      <c r="N186" s="244"/>
      <c r="O186" s="244"/>
      <c r="P186" s="244"/>
      <c r="Q186" s="120"/>
      <c r="R186" s="120"/>
      <c r="S186" s="120"/>
      <c r="T186" s="120"/>
    </row>
    <row r="187" spans="1:20" ht="32.1" customHeight="1" x14ac:dyDescent="0.25">
      <c r="A187" s="165" t="s">
        <v>124</v>
      </c>
      <c r="B187" s="167" t="s">
        <v>137</v>
      </c>
      <c r="C187" s="169" t="s">
        <v>38</v>
      </c>
      <c r="D187" s="169">
        <v>9.7799999999999994</v>
      </c>
      <c r="E187" s="169">
        <v>15.2</v>
      </c>
      <c r="F187" s="169">
        <v>28.3</v>
      </c>
      <c r="G187" s="199">
        <f t="shared" ref="G187:G190" si="75">F187*4+E187*9+D187*4</f>
        <v>289.12</v>
      </c>
      <c r="H187" s="169">
        <v>0.13</v>
      </c>
      <c r="I187" s="169">
        <v>9.1</v>
      </c>
      <c r="J187" s="169">
        <v>53.6</v>
      </c>
      <c r="K187" s="169">
        <v>0.24</v>
      </c>
      <c r="L187" s="169">
        <v>0</v>
      </c>
      <c r="M187" s="169">
        <v>128.69999999999999</v>
      </c>
      <c r="N187" s="169">
        <v>38.9</v>
      </c>
      <c r="O187" s="169">
        <v>104.4</v>
      </c>
      <c r="P187" s="169">
        <v>1.02</v>
      </c>
      <c r="Q187" s="164">
        <v>89.5</v>
      </c>
      <c r="R187" s="164">
        <v>3.0000000000000001E-3</v>
      </c>
      <c r="S187" s="164">
        <v>2.5000000000000001E-3</v>
      </c>
      <c r="T187" s="164">
        <v>0.183</v>
      </c>
    </row>
    <row r="188" spans="1:20" x14ac:dyDescent="0.25">
      <c r="A188" s="186" t="s">
        <v>217</v>
      </c>
      <c r="B188" s="187" t="s">
        <v>218</v>
      </c>
      <c r="C188" s="181">
        <v>100</v>
      </c>
      <c r="D188" s="175">
        <v>9.48</v>
      </c>
      <c r="E188" s="175">
        <v>7.89</v>
      </c>
      <c r="F188" s="175">
        <v>22.33</v>
      </c>
      <c r="G188" s="199">
        <f t="shared" si="75"/>
        <v>198.25</v>
      </c>
      <c r="H188" s="175">
        <v>0.1</v>
      </c>
      <c r="I188" s="175">
        <v>15.45</v>
      </c>
      <c r="J188" s="175">
        <v>106.2</v>
      </c>
      <c r="K188" s="175">
        <v>0.307</v>
      </c>
      <c r="L188" s="175">
        <v>0.5</v>
      </c>
      <c r="M188" s="175">
        <v>184.9</v>
      </c>
      <c r="N188" s="175">
        <v>27.16</v>
      </c>
      <c r="O188" s="175">
        <v>47.61</v>
      </c>
      <c r="P188" s="175">
        <v>1.81</v>
      </c>
      <c r="Q188" s="178">
        <v>284</v>
      </c>
      <c r="R188" s="178">
        <v>1.2E-2</v>
      </c>
      <c r="S188" s="178">
        <v>7.0000000000000001E-3</v>
      </c>
      <c r="T188" s="178">
        <v>0.68</v>
      </c>
    </row>
    <row r="189" spans="1:20" x14ac:dyDescent="0.25">
      <c r="A189" s="186" t="s">
        <v>219</v>
      </c>
      <c r="B189" s="1" t="s">
        <v>220</v>
      </c>
      <c r="C189" s="175">
        <v>180</v>
      </c>
      <c r="D189" s="175">
        <v>11.84</v>
      </c>
      <c r="E189" s="175">
        <v>16.98</v>
      </c>
      <c r="F189" s="175">
        <f>10.2*2</f>
        <v>20.399999999999999</v>
      </c>
      <c r="G189" s="199">
        <f t="shared" si="75"/>
        <v>281.77999999999997</v>
      </c>
      <c r="H189" s="175">
        <v>0.14000000000000001</v>
      </c>
      <c r="I189" s="175">
        <v>7.7</v>
      </c>
      <c r="J189" s="175">
        <v>84.7</v>
      </c>
      <c r="K189" s="175">
        <v>0.115</v>
      </c>
      <c r="L189" s="175">
        <v>4.45</v>
      </c>
      <c r="M189" s="175">
        <v>152</v>
      </c>
      <c r="N189" s="175">
        <v>43</v>
      </c>
      <c r="O189" s="175">
        <v>190.7</v>
      </c>
      <c r="P189" s="175">
        <v>2.23</v>
      </c>
      <c r="Q189" s="178">
        <v>108.5</v>
      </c>
      <c r="R189" s="178">
        <v>3.5999999999999999E-3</v>
      </c>
      <c r="S189" s="178">
        <v>8.9999999999999993E-3</v>
      </c>
      <c r="T189" s="178">
        <v>0.36</v>
      </c>
    </row>
    <row r="190" spans="1:20" ht="33.75" customHeight="1" x14ac:dyDescent="0.25">
      <c r="A190" s="47" t="s">
        <v>209</v>
      </c>
      <c r="B190" s="1" t="s">
        <v>221</v>
      </c>
      <c r="C190" s="188">
        <v>100</v>
      </c>
      <c r="D190" s="175">
        <f>0.1*2</f>
        <v>0.2</v>
      </c>
      <c r="E190" s="175">
        <f>0.03*2</f>
        <v>0.06</v>
      </c>
      <c r="F190" s="175">
        <f>6.32*2</f>
        <v>12.64</v>
      </c>
      <c r="G190" s="199">
        <f t="shared" si="75"/>
        <v>51.9</v>
      </c>
      <c r="H190" s="175">
        <v>2.8000000000000001E-2</v>
      </c>
      <c r="I190" s="175">
        <v>4</v>
      </c>
      <c r="J190" s="175">
        <v>38.1</v>
      </c>
      <c r="K190" s="175">
        <v>0</v>
      </c>
      <c r="L190" s="175">
        <v>0</v>
      </c>
      <c r="M190" s="175">
        <v>8.0500000000000007</v>
      </c>
      <c r="N190" s="175">
        <v>5.24</v>
      </c>
      <c r="O190" s="175">
        <v>9.7799999999999994</v>
      </c>
      <c r="P190" s="175">
        <v>0.89</v>
      </c>
      <c r="Q190" s="178">
        <v>23.8</v>
      </c>
      <c r="R190" s="178">
        <v>1.2E-2</v>
      </c>
      <c r="S190" s="178">
        <v>1.2999999999999999E-2</v>
      </c>
      <c r="T190" s="178">
        <v>1.06</v>
      </c>
    </row>
    <row r="191" spans="1:20" x14ac:dyDescent="0.25">
      <c r="A191" s="47"/>
      <c r="B191" s="167" t="s">
        <v>66</v>
      </c>
      <c r="C191" s="169">
        <v>200</v>
      </c>
      <c r="D191" s="169">
        <v>0</v>
      </c>
      <c r="E191" s="169">
        <v>0</v>
      </c>
      <c r="F191" s="169">
        <v>22</v>
      </c>
      <c r="G191" s="169">
        <f t="shared" ref="G191:G193" si="76">F191*4+E191*9+D191*4</f>
        <v>88</v>
      </c>
      <c r="H191" s="35">
        <v>7.0000000000000007E-2</v>
      </c>
      <c r="I191" s="35">
        <v>0.01</v>
      </c>
      <c r="J191" s="35">
        <v>100</v>
      </c>
      <c r="K191" s="35">
        <v>0.09</v>
      </c>
      <c r="L191" s="35">
        <v>0</v>
      </c>
      <c r="M191" s="35">
        <v>21.48</v>
      </c>
      <c r="N191" s="35">
        <v>8.4600000000000009</v>
      </c>
      <c r="O191" s="35">
        <v>49.79</v>
      </c>
      <c r="P191" s="71">
        <v>0.66</v>
      </c>
      <c r="Q191" s="164">
        <v>24</v>
      </c>
      <c r="R191" s="164">
        <v>0</v>
      </c>
      <c r="S191" s="164">
        <v>0</v>
      </c>
      <c r="T191" s="164">
        <v>4.0000000000000001E-3</v>
      </c>
    </row>
    <row r="192" spans="1:20" x14ac:dyDescent="0.25">
      <c r="A192" s="48" t="s">
        <v>93</v>
      </c>
      <c r="B192" s="167" t="s">
        <v>25</v>
      </c>
      <c r="C192" s="169">
        <v>25</v>
      </c>
      <c r="D192" s="169">
        <v>4.5600000000000005</v>
      </c>
      <c r="E192" s="169">
        <v>0.48</v>
      </c>
      <c r="F192" s="169">
        <v>30.089999999999996</v>
      </c>
      <c r="G192" s="199">
        <f t="shared" si="76"/>
        <v>142.91999999999999</v>
      </c>
      <c r="H192" s="169">
        <v>5.1999999999999998E-2</v>
      </c>
      <c r="I192" s="169">
        <v>0.4</v>
      </c>
      <c r="J192" s="169">
        <v>0</v>
      </c>
      <c r="K192" s="169">
        <v>0</v>
      </c>
      <c r="L192" s="169">
        <v>0</v>
      </c>
      <c r="M192" s="169">
        <v>5.8</v>
      </c>
      <c r="N192" s="169">
        <v>9.6</v>
      </c>
      <c r="O192" s="169">
        <v>36.799999999999997</v>
      </c>
      <c r="P192" s="169">
        <v>0.44</v>
      </c>
      <c r="Q192" s="164">
        <v>18.2</v>
      </c>
      <c r="R192" s="164">
        <v>6.0000000000000001E-3</v>
      </c>
      <c r="S192" s="164">
        <v>1E-3</v>
      </c>
      <c r="T192" s="164">
        <v>0</v>
      </c>
    </row>
    <row r="193" spans="1:20" x14ac:dyDescent="0.25">
      <c r="A193" s="48" t="s">
        <v>94</v>
      </c>
      <c r="B193" s="3" t="s">
        <v>27</v>
      </c>
      <c r="C193" s="169">
        <v>25</v>
      </c>
      <c r="D193" s="169">
        <v>2.64</v>
      </c>
      <c r="E193" s="169">
        <v>0.48</v>
      </c>
      <c r="F193" s="169">
        <v>16.72</v>
      </c>
      <c r="G193" s="199">
        <f t="shared" si="76"/>
        <v>81.759999999999991</v>
      </c>
      <c r="H193" s="169">
        <v>0.03</v>
      </c>
      <c r="I193" s="169">
        <v>0</v>
      </c>
      <c r="J193" s="169">
        <v>0</v>
      </c>
      <c r="K193" s="169">
        <v>0</v>
      </c>
      <c r="L193" s="169">
        <v>0</v>
      </c>
      <c r="M193" s="169">
        <v>5.08</v>
      </c>
      <c r="N193" s="169">
        <v>4.96</v>
      </c>
      <c r="O193" s="169">
        <v>40</v>
      </c>
      <c r="P193" s="169">
        <v>0.4</v>
      </c>
      <c r="Q193" s="164">
        <v>16.2</v>
      </c>
      <c r="R193" s="164">
        <v>6.0000000000000001E-3</v>
      </c>
      <c r="S193" s="164">
        <v>1E-3</v>
      </c>
      <c r="T193" s="164">
        <v>0</v>
      </c>
    </row>
    <row r="194" spans="1:20" ht="24" customHeight="1" x14ac:dyDescent="0.25">
      <c r="A194" s="225" t="s">
        <v>18</v>
      </c>
      <c r="B194" s="266"/>
      <c r="C194" s="119">
        <v>875</v>
      </c>
      <c r="D194" s="9">
        <f t="shared" ref="D194:T194" si="77">SUM(D187:D193)</f>
        <v>38.5</v>
      </c>
      <c r="E194" s="9">
        <f t="shared" si="77"/>
        <v>41.089999999999996</v>
      </c>
      <c r="F194" s="9">
        <f t="shared" si="77"/>
        <v>152.47999999999999</v>
      </c>
      <c r="G194" s="9">
        <f>SUM(G187:G193)</f>
        <v>1133.73</v>
      </c>
      <c r="H194" s="5">
        <f t="shared" si="77"/>
        <v>0.55000000000000004</v>
      </c>
      <c r="I194" s="5">
        <f t="shared" si="77"/>
        <v>36.659999999999997</v>
      </c>
      <c r="J194" s="5">
        <f t="shared" si="77"/>
        <v>382.6</v>
      </c>
      <c r="K194" s="5">
        <f t="shared" si="77"/>
        <v>0.75199999999999989</v>
      </c>
      <c r="L194" s="5">
        <f t="shared" si="77"/>
        <v>4.95</v>
      </c>
      <c r="M194" s="5">
        <f t="shared" si="77"/>
        <v>506.01000000000005</v>
      </c>
      <c r="N194" s="5">
        <f t="shared" si="77"/>
        <v>137.32</v>
      </c>
      <c r="O194" s="5">
        <f t="shared" si="77"/>
        <v>479.08</v>
      </c>
      <c r="P194" s="5">
        <f t="shared" si="77"/>
        <v>7.4500000000000011</v>
      </c>
      <c r="Q194" s="5">
        <f t="shared" si="77"/>
        <v>564.20000000000005</v>
      </c>
      <c r="R194" s="5">
        <f>SUM(R187:R193)</f>
        <v>4.2599999999999999E-2</v>
      </c>
      <c r="S194" s="5">
        <f>SUM(S187:S193)</f>
        <v>3.3500000000000002E-2</v>
      </c>
      <c r="T194" s="5">
        <f t="shared" si="77"/>
        <v>2.2869999999999999</v>
      </c>
    </row>
    <row r="195" spans="1:20" ht="24" customHeight="1" x14ac:dyDescent="0.25">
      <c r="A195" s="225" t="s">
        <v>40</v>
      </c>
      <c r="B195" s="236"/>
      <c r="C195" s="236"/>
      <c r="D195" s="236"/>
      <c r="E195" s="236"/>
      <c r="F195" s="236"/>
      <c r="G195" s="236"/>
      <c r="H195" s="236"/>
      <c r="I195" s="236"/>
      <c r="J195" s="236"/>
      <c r="K195" s="236"/>
      <c r="L195" s="236"/>
      <c r="M195" s="236"/>
      <c r="N195" s="236"/>
      <c r="O195" s="236"/>
      <c r="P195" s="236"/>
      <c r="Q195" s="236"/>
      <c r="R195" s="236"/>
      <c r="S195" s="236"/>
      <c r="T195" s="240"/>
    </row>
    <row r="196" spans="1:20" x14ac:dyDescent="0.25">
      <c r="A196" s="166" t="s">
        <v>115</v>
      </c>
      <c r="B196" s="167" t="s">
        <v>30</v>
      </c>
      <c r="C196" s="169" t="s">
        <v>135</v>
      </c>
      <c r="D196" s="169">
        <v>0.04</v>
      </c>
      <c r="E196" s="169">
        <v>0</v>
      </c>
      <c r="F196" s="169">
        <v>10.119999999999999</v>
      </c>
      <c r="G196" s="11">
        <f t="shared" ref="G196:G198" si="78">(9*E196)+4*(F196+D196)</f>
        <v>40.639999999999993</v>
      </c>
      <c r="H196" s="169">
        <v>0.06</v>
      </c>
      <c r="I196" s="169">
        <v>0</v>
      </c>
      <c r="J196" s="169">
        <v>0</v>
      </c>
      <c r="K196" s="169">
        <v>0</v>
      </c>
      <c r="L196" s="169">
        <v>0</v>
      </c>
      <c r="M196" s="169">
        <v>10.16</v>
      </c>
      <c r="N196" s="169">
        <v>9.92</v>
      </c>
      <c r="O196" s="169">
        <v>80</v>
      </c>
      <c r="P196" s="170">
        <v>0.8</v>
      </c>
      <c r="Q196" s="164">
        <v>34</v>
      </c>
      <c r="R196" s="164">
        <v>0</v>
      </c>
      <c r="S196" s="164">
        <v>0</v>
      </c>
      <c r="T196" s="164">
        <v>0.2</v>
      </c>
    </row>
    <row r="197" spans="1:20" x14ac:dyDescent="0.25">
      <c r="A197" s="48" t="s">
        <v>97</v>
      </c>
      <c r="B197" s="167" t="s">
        <v>223</v>
      </c>
      <c r="C197" s="169">
        <v>75</v>
      </c>
      <c r="D197" s="169">
        <v>7.95</v>
      </c>
      <c r="E197" s="169">
        <v>9.3000000000000007</v>
      </c>
      <c r="F197" s="169">
        <v>30.8</v>
      </c>
      <c r="G197" s="11">
        <f t="shared" si="78"/>
        <v>238.7</v>
      </c>
      <c r="H197" s="169">
        <v>5.1999999999999998E-2</v>
      </c>
      <c r="I197" s="169">
        <v>0.4</v>
      </c>
      <c r="J197" s="169">
        <v>106.8</v>
      </c>
      <c r="K197" s="169">
        <v>0.23</v>
      </c>
      <c r="L197" s="169">
        <v>0.64</v>
      </c>
      <c r="M197" s="169">
        <v>98</v>
      </c>
      <c r="N197" s="169">
        <v>9.6</v>
      </c>
      <c r="O197" s="169">
        <v>61.4</v>
      </c>
      <c r="P197" s="170">
        <v>0.14000000000000001</v>
      </c>
      <c r="Q197" s="164">
        <v>92</v>
      </c>
      <c r="R197" s="164">
        <v>0</v>
      </c>
      <c r="S197" s="164">
        <v>1E-3</v>
      </c>
      <c r="T197" s="164">
        <v>0.17</v>
      </c>
    </row>
    <row r="198" spans="1:20" x14ac:dyDescent="0.25">
      <c r="A198" s="48"/>
      <c r="B198" s="18" t="s">
        <v>184</v>
      </c>
      <c r="C198" s="162">
        <v>65</v>
      </c>
      <c r="D198" s="162">
        <v>2.9</v>
      </c>
      <c r="E198" s="162">
        <v>2.1</v>
      </c>
      <c r="F198" s="162">
        <v>11.34</v>
      </c>
      <c r="G198" s="11">
        <f t="shared" si="78"/>
        <v>75.86</v>
      </c>
      <c r="H198" s="172">
        <v>0.03</v>
      </c>
      <c r="I198" s="172">
        <v>10</v>
      </c>
      <c r="J198" s="172">
        <v>0.03</v>
      </c>
      <c r="K198" s="172">
        <v>0.02</v>
      </c>
      <c r="L198" s="172">
        <v>0</v>
      </c>
      <c r="M198" s="172">
        <v>9.5</v>
      </c>
      <c r="N198" s="172">
        <v>7</v>
      </c>
      <c r="O198" s="172">
        <v>9.5</v>
      </c>
      <c r="P198" s="171">
        <v>1.2</v>
      </c>
      <c r="Q198" s="164">
        <v>0.4</v>
      </c>
      <c r="R198" s="164">
        <v>1.7000000000000001E-2</v>
      </c>
      <c r="S198" s="164">
        <v>0</v>
      </c>
      <c r="T198" s="164">
        <v>0.06</v>
      </c>
    </row>
    <row r="199" spans="1:20" ht="24" customHeight="1" x14ac:dyDescent="0.25">
      <c r="A199" s="244" t="s">
        <v>18</v>
      </c>
      <c r="B199" s="244"/>
      <c r="C199" s="119">
        <v>355</v>
      </c>
      <c r="D199" s="119">
        <f>SUM(D197:D198)</f>
        <v>10.85</v>
      </c>
      <c r="E199" s="119">
        <f>SUM(E197:E198)</f>
        <v>11.4</v>
      </c>
      <c r="F199" s="119">
        <f>SUM(F197:F198)</f>
        <v>42.14</v>
      </c>
      <c r="G199" s="119">
        <f>SUM(G197:G198)</f>
        <v>314.56</v>
      </c>
      <c r="H199" s="13">
        <f t="shared" ref="H199:T199" si="79">H196+H197+H198</f>
        <v>0.14199999999999999</v>
      </c>
      <c r="I199" s="13">
        <f t="shared" si="79"/>
        <v>10.4</v>
      </c>
      <c r="J199" s="13">
        <f t="shared" si="79"/>
        <v>106.83</v>
      </c>
      <c r="K199" s="13">
        <f t="shared" si="79"/>
        <v>0.25</v>
      </c>
      <c r="L199" s="13">
        <f t="shared" si="79"/>
        <v>0.64</v>
      </c>
      <c r="M199" s="13">
        <f t="shared" si="79"/>
        <v>117.66</v>
      </c>
      <c r="N199" s="13">
        <f t="shared" si="79"/>
        <v>26.52</v>
      </c>
      <c r="O199" s="13">
        <f t="shared" si="79"/>
        <v>150.9</v>
      </c>
      <c r="P199" s="13">
        <f t="shared" si="79"/>
        <v>2.14</v>
      </c>
      <c r="Q199" s="13">
        <f t="shared" si="79"/>
        <v>126.4</v>
      </c>
      <c r="R199" s="13">
        <f t="shared" si="79"/>
        <v>1.7000000000000001E-2</v>
      </c>
      <c r="S199" s="13">
        <f t="shared" si="79"/>
        <v>1E-3</v>
      </c>
      <c r="T199" s="13">
        <f t="shared" si="79"/>
        <v>0.43</v>
      </c>
    </row>
    <row r="200" spans="1:20" ht="24" customHeight="1" x14ac:dyDescent="0.25">
      <c r="A200" s="244" t="s">
        <v>20</v>
      </c>
      <c r="B200" s="244"/>
      <c r="C200" s="119">
        <f>+C185+C194+C199</f>
        <v>1775</v>
      </c>
      <c r="D200" s="9">
        <f t="shared" ref="D200:T200" si="80">D185+D194+D199</f>
        <v>71.2</v>
      </c>
      <c r="E200" s="9">
        <f t="shared" si="80"/>
        <v>72.39</v>
      </c>
      <c r="F200" s="9">
        <f t="shared" si="80"/>
        <v>302.17999999999995</v>
      </c>
      <c r="G200" s="9">
        <f t="shared" si="80"/>
        <v>2145.0299999999997</v>
      </c>
      <c r="H200" s="37">
        <f t="shared" si="80"/>
        <v>1.1239999999999999</v>
      </c>
      <c r="I200" s="37">
        <f t="shared" si="80"/>
        <v>55.949999999999996</v>
      </c>
      <c r="J200" s="37">
        <f t="shared" si="80"/>
        <v>708.53000000000009</v>
      </c>
      <c r="K200" s="37">
        <f t="shared" si="80"/>
        <v>1.3039999999999998</v>
      </c>
      <c r="L200" s="37">
        <f t="shared" si="80"/>
        <v>8.0500000000000007</v>
      </c>
      <c r="M200" s="37">
        <f t="shared" si="80"/>
        <v>946.61</v>
      </c>
      <c r="N200" s="37">
        <f t="shared" si="80"/>
        <v>237.79999999999998</v>
      </c>
      <c r="O200" s="37">
        <f t="shared" si="80"/>
        <v>945.1</v>
      </c>
      <c r="P200" s="37">
        <f t="shared" si="80"/>
        <v>14.230000000000002</v>
      </c>
      <c r="Q200" s="37">
        <f t="shared" si="80"/>
        <v>944.2</v>
      </c>
      <c r="R200" s="37">
        <f t="shared" si="80"/>
        <v>7.9600000000000004E-2</v>
      </c>
      <c r="S200" s="209">
        <f>S185+S194+S199</f>
        <v>4.1500000000000002E-2</v>
      </c>
      <c r="T200" s="37">
        <f t="shared" si="80"/>
        <v>3.49</v>
      </c>
    </row>
    <row r="201" spans="1:20" ht="24" customHeight="1" x14ac:dyDescent="0.25">
      <c r="A201" s="278" t="s">
        <v>49</v>
      </c>
      <c r="B201" s="278"/>
      <c r="C201" s="278"/>
      <c r="D201" s="278"/>
      <c r="E201" s="278"/>
      <c r="F201" s="278"/>
      <c r="G201" s="278"/>
      <c r="H201" s="278"/>
      <c r="I201" s="278"/>
      <c r="J201" s="278"/>
      <c r="K201" s="278"/>
      <c r="L201" s="278"/>
      <c r="M201" s="278"/>
      <c r="N201" s="278"/>
      <c r="O201" s="278"/>
      <c r="P201" s="278"/>
      <c r="Q201" s="278"/>
      <c r="R201" s="278"/>
      <c r="S201" s="278"/>
      <c r="T201" s="278"/>
    </row>
    <row r="202" spans="1:20" ht="24" customHeight="1" x14ac:dyDescent="0.25">
      <c r="A202" s="244" t="s">
        <v>17</v>
      </c>
      <c r="B202" s="244"/>
      <c r="C202" s="244"/>
      <c r="D202" s="244"/>
      <c r="E202" s="244"/>
      <c r="F202" s="244"/>
      <c r="G202" s="244"/>
      <c r="H202" s="244"/>
      <c r="I202" s="244"/>
      <c r="J202" s="244"/>
      <c r="K202" s="244"/>
      <c r="L202" s="244"/>
      <c r="M202" s="244"/>
      <c r="N202" s="244"/>
      <c r="O202" s="244"/>
      <c r="P202" s="244"/>
      <c r="Q202" s="244"/>
      <c r="R202" s="244"/>
      <c r="S202" s="244"/>
      <c r="T202" s="244"/>
    </row>
    <row r="203" spans="1:20" x14ac:dyDescent="0.25">
      <c r="A203" s="174" t="s">
        <v>109</v>
      </c>
      <c r="B203" s="1" t="s">
        <v>65</v>
      </c>
      <c r="C203" s="175">
        <v>200</v>
      </c>
      <c r="D203" s="175">
        <v>16</v>
      </c>
      <c r="E203" s="175">
        <v>12</v>
      </c>
      <c r="F203" s="175">
        <v>5.89</v>
      </c>
      <c r="G203" s="199">
        <f t="shared" ref="G203" si="81">F203*4+E203*9+D203*4</f>
        <v>195.56</v>
      </c>
      <c r="H203" s="175">
        <v>0.06</v>
      </c>
      <c r="I203" s="175">
        <v>16</v>
      </c>
      <c r="J203" s="175">
        <v>231.6</v>
      </c>
      <c r="K203" s="175">
        <v>0.4</v>
      </c>
      <c r="L203" s="175">
        <v>1.2</v>
      </c>
      <c r="M203" s="175">
        <v>219.64</v>
      </c>
      <c r="N203" s="175">
        <v>31.44</v>
      </c>
      <c r="O203" s="175">
        <v>98.4</v>
      </c>
      <c r="P203" s="175">
        <v>2.02</v>
      </c>
      <c r="Q203" s="178">
        <v>124.5</v>
      </c>
      <c r="R203" s="178">
        <v>3.2000000000000002E-3</v>
      </c>
      <c r="S203" s="178">
        <v>1.7000000000000001E-2</v>
      </c>
      <c r="T203" s="178">
        <v>8.7999999999999995E-2</v>
      </c>
    </row>
    <row r="204" spans="1:20" x14ac:dyDescent="0.25">
      <c r="A204" s="47" t="s">
        <v>114</v>
      </c>
      <c r="B204" s="1" t="s">
        <v>136</v>
      </c>
      <c r="C204" s="175">
        <v>45</v>
      </c>
      <c r="D204" s="213">
        <v>6.15</v>
      </c>
      <c r="E204" s="213">
        <v>10.92</v>
      </c>
      <c r="F204" s="2">
        <v>16.274999999999999</v>
      </c>
      <c r="G204" s="42">
        <f t="shared" ref="G204" si="82">(9*E204)+4*(F204+D204)</f>
        <v>187.98</v>
      </c>
      <c r="H204" s="213">
        <f>0.22/2</f>
        <v>0.11</v>
      </c>
      <c r="I204" s="213">
        <f>0.06/2</f>
        <v>0.03</v>
      </c>
      <c r="J204" s="213">
        <v>26.15</v>
      </c>
      <c r="K204" s="213">
        <v>0.05</v>
      </c>
      <c r="L204" s="213">
        <v>0.35</v>
      </c>
      <c r="M204" s="213">
        <f>141.24/2</f>
        <v>70.62</v>
      </c>
      <c r="N204" s="213">
        <f>68.76/2</f>
        <v>34.380000000000003</v>
      </c>
      <c r="O204" s="213">
        <v>83.6</v>
      </c>
      <c r="P204" s="213">
        <v>0.33</v>
      </c>
      <c r="Q204" s="212">
        <v>55.6</v>
      </c>
      <c r="R204" s="212">
        <v>3.0000000000000001E-3</v>
      </c>
      <c r="S204" s="212">
        <v>0</v>
      </c>
      <c r="T204" s="212">
        <v>3.1099999999999999E-2</v>
      </c>
    </row>
    <row r="205" spans="1:20" ht="25.5" x14ac:dyDescent="0.25">
      <c r="A205" s="196" t="s">
        <v>163</v>
      </c>
      <c r="B205" s="30" t="s">
        <v>183</v>
      </c>
      <c r="C205" s="199">
        <v>60</v>
      </c>
      <c r="D205" s="199">
        <v>0.82</v>
      </c>
      <c r="E205" s="199">
        <v>2.08</v>
      </c>
      <c r="F205" s="199">
        <v>4.8</v>
      </c>
      <c r="G205" s="199">
        <f>F205*4+E205*9+D205*4</f>
        <v>41.2</v>
      </c>
      <c r="H205" s="199">
        <v>5.1999999999999998E-2</v>
      </c>
      <c r="I205" s="199">
        <v>0.1</v>
      </c>
      <c r="J205" s="199">
        <v>0</v>
      </c>
      <c r="K205" s="199">
        <v>0</v>
      </c>
      <c r="L205" s="199">
        <v>1</v>
      </c>
      <c r="M205" s="199">
        <v>49</v>
      </c>
      <c r="N205" s="199">
        <v>13</v>
      </c>
      <c r="O205" s="199">
        <v>52</v>
      </c>
      <c r="P205" s="200">
        <v>1</v>
      </c>
      <c r="Q205" s="194">
        <v>46.9</v>
      </c>
      <c r="R205" s="210">
        <v>1.4999999999999999E-2</v>
      </c>
      <c r="S205" s="194">
        <v>1.6999999999999999E-3</v>
      </c>
      <c r="T205" s="194">
        <v>0.4</v>
      </c>
    </row>
    <row r="206" spans="1:20" x14ac:dyDescent="0.25">
      <c r="A206" s="197" t="s">
        <v>134</v>
      </c>
      <c r="B206" s="198" t="s">
        <v>160</v>
      </c>
      <c r="C206" s="199" t="s">
        <v>56</v>
      </c>
      <c r="D206" s="199">
        <v>0.04</v>
      </c>
      <c r="E206" s="199">
        <v>0</v>
      </c>
      <c r="F206" s="199">
        <v>10.119999999999999</v>
      </c>
      <c r="G206" s="199">
        <f t="shared" ref="G206:G207" si="83">F206*4+E206*9+D206*4</f>
        <v>40.639999999999993</v>
      </c>
      <c r="H206" s="199">
        <v>0.06</v>
      </c>
      <c r="I206" s="199">
        <v>0</v>
      </c>
      <c r="J206" s="199">
        <v>0</v>
      </c>
      <c r="K206" s="199">
        <v>0</v>
      </c>
      <c r="L206" s="199">
        <v>0</v>
      </c>
      <c r="M206" s="199">
        <v>10.16</v>
      </c>
      <c r="N206" s="199">
        <v>9.92</v>
      </c>
      <c r="O206" s="199">
        <v>80</v>
      </c>
      <c r="P206" s="200">
        <v>0.8</v>
      </c>
      <c r="Q206" s="194">
        <v>34</v>
      </c>
      <c r="R206" s="194">
        <v>0</v>
      </c>
      <c r="S206" s="194">
        <v>0</v>
      </c>
      <c r="T206" s="194">
        <v>0.02</v>
      </c>
    </row>
    <row r="207" spans="1:20" x14ac:dyDescent="0.25">
      <c r="A207" s="115" t="s">
        <v>123</v>
      </c>
      <c r="B207" s="198" t="s">
        <v>25</v>
      </c>
      <c r="C207" s="199">
        <v>50</v>
      </c>
      <c r="D207" s="199">
        <v>0.08</v>
      </c>
      <c r="E207" s="199">
        <v>0.64</v>
      </c>
      <c r="F207" s="199">
        <v>38.4</v>
      </c>
      <c r="G207" s="199">
        <f t="shared" si="83"/>
        <v>159.67999999999998</v>
      </c>
      <c r="H207" s="199">
        <v>0</v>
      </c>
      <c r="I207" s="199">
        <v>0</v>
      </c>
      <c r="J207" s="199">
        <v>40</v>
      </c>
      <c r="K207" s="199">
        <v>0.1</v>
      </c>
      <c r="L207" s="199">
        <v>0.13</v>
      </c>
      <c r="M207" s="199">
        <v>2</v>
      </c>
      <c r="N207" s="199">
        <v>0</v>
      </c>
      <c r="O207" s="199">
        <v>3</v>
      </c>
      <c r="P207" s="200">
        <v>0</v>
      </c>
      <c r="Q207" s="194">
        <v>3</v>
      </c>
      <c r="R207" s="194">
        <v>0</v>
      </c>
      <c r="S207" s="194">
        <v>1E-3</v>
      </c>
      <c r="T207" s="194">
        <v>2.8000000000000001E-2</v>
      </c>
    </row>
    <row r="208" spans="1:20" ht="24" customHeight="1" x14ac:dyDescent="0.25">
      <c r="A208" s="244" t="s">
        <v>18</v>
      </c>
      <c r="B208" s="245"/>
      <c r="C208" s="44">
        <v>565</v>
      </c>
      <c r="D208" s="4">
        <f t="shared" ref="D208:T208" si="84">SUM(D203:D207)</f>
        <v>23.089999999999996</v>
      </c>
      <c r="E208" s="4">
        <f t="shared" si="84"/>
        <v>25.64</v>
      </c>
      <c r="F208" s="4">
        <f t="shared" si="84"/>
        <v>75.484999999999999</v>
      </c>
      <c r="G208" s="4">
        <f t="shared" si="84"/>
        <v>625.05999999999995</v>
      </c>
      <c r="H208" s="5">
        <f t="shared" si="84"/>
        <v>0.28199999999999997</v>
      </c>
      <c r="I208" s="5">
        <f t="shared" si="84"/>
        <v>16.130000000000003</v>
      </c>
      <c r="J208" s="5">
        <f t="shared" si="84"/>
        <v>297.75</v>
      </c>
      <c r="K208" s="5">
        <f t="shared" si="84"/>
        <v>0.55000000000000004</v>
      </c>
      <c r="L208" s="5">
        <f t="shared" si="84"/>
        <v>2.6799999999999997</v>
      </c>
      <c r="M208" s="5">
        <f t="shared" si="84"/>
        <v>351.42</v>
      </c>
      <c r="N208" s="5">
        <f t="shared" si="84"/>
        <v>88.740000000000009</v>
      </c>
      <c r="O208" s="5">
        <f t="shared" si="84"/>
        <v>317</v>
      </c>
      <c r="P208" s="5">
        <f t="shared" si="84"/>
        <v>4.1500000000000004</v>
      </c>
      <c r="Q208" s="5">
        <f t="shared" si="84"/>
        <v>264</v>
      </c>
      <c r="R208" s="5">
        <f t="shared" si="84"/>
        <v>2.12E-2</v>
      </c>
      <c r="S208" s="5">
        <f t="shared" si="84"/>
        <v>1.9700000000000002E-2</v>
      </c>
      <c r="T208" s="5">
        <f t="shared" si="84"/>
        <v>0.56710000000000005</v>
      </c>
    </row>
    <row r="209" spans="1:44" ht="24" customHeight="1" x14ac:dyDescent="0.25">
      <c r="A209" s="244" t="s">
        <v>19</v>
      </c>
      <c r="B209" s="244"/>
      <c r="C209" s="244"/>
      <c r="D209" s="244"/>
      <c r="E209" s="244"/>
      <c r="F209" s="244"/>
      <c r="G209" s="244"/>
      <c r="H209" s="244"/>
      <c r="I209" s="244"/>
      <c r="J209" s="244"/>
      <c r="K209" s="244"/>
      <c r="L209" s="244"/>
      <c r="M209" s="244"/>
      <c r="N209" s="244"/>
      <c r="O209" s="244"/>
      <c r="P209" s="244"/>
      <c r="Q209" s="120"/>
      <c r="R209" s="120"/>
      <c r="S209" s="120"/>
      <c r="T209" s="120"/>
    </row>
    <row r="210" spans="1:44" ht="34.15" customHeight="1" x14ac:dyDescent="0.25">
      <c r="A210" s="196" t="s">
        <v>126</v>
      </c>
      <c r="B210" s="198" t="s">
        <v>227</v>
      </c>
      <c r="C210" s="199">
        <v>250</v>
      </c>
      <c r="D210" s="199">
        <v>7.06</v>
      </c>
      <c r="E210" s="199">
        <v>15.3</v>
      </c>
      <c r="F210" s="199">
        <v>36.299999999999997</v>
      </c>
      <c r="G210" s="2">
        <f>F210*4+E210*9+D210*4</f>
        <v>311.14</v>
      </c>
      <c r="H210" s="199">
        <v>0.11</v>
      </c>
      <c r="I210" s="199">
        <v>23</v>
      </c>
      <c r="J210" s="199">
        <v>128.30000000000001</v>
      </c>
      <c r="K210" s="199">
        <v>0.43</v>
      </c>
      <c r="L210" s="199">
        <v>1.67</v>
      </c>
      <c r="M210" s="199">
        <v>123.2</v>
      </c>
      <c r="N210" s="199">
        <v>20.3</v>
      </c>
      <c r="O210" s="199">
        <v>126.7</v>
      </c>
      <c r="P210" s="200">
        <v>1.1200000000000001</v>
      </c>
      <c r="Q210" s="194">
        <v>114</v>
      </c>
      <c r="R210" s="194">
        <v>0</v>
      </c>
      <c r="S210" s="194">
        <v>0</v>
      </c>
      <c r="T210" s="194">
        <v>0.78</v>
      </c>
    </row>
    <row r="211" spans="1:44" x14ac:dyDescent="0.25">
      <c r="A211" s="47" t="s">
        <v>228</v>
      </c>
      <c r="B211" s="190" t="s">
        <v>225</v>
      </c>
      <c r="C211" s="175">
        <v>125</v>
      </c>
      <c r="D211" s="175">
        <f>12.44*1.25</f>
        <v>15.549999999999999</v>
      </c>
      <c r="E211" s="175">
        <v>13.83</v>
      </c>
      <c r="F211" s="175">
        <v>14.87</v>
      </c>
      <c r="G211" s="2">
        <f t="shared" ref="G211:G216" si="85">F211*4+E211*9+D211*4</f>
        <v>246.14999999999998</v>
      </c>
      <c r="H211" s="175">
        <v>0.4</v>
      </c>
      <c r="I211" s="175">
        <v>2.5000000000000001E-2</v>
      </c>
      <c r="J211" s="175">
        <v>168.5</v>
      </c>
      <c r="K211" s="175">
        <v>7.3999999999999996E-2</v>
      </c>
      <c r="L211" s="175">
        <v>0.9</v>
      </c>
      <c r="M211" s="175">
        <v>129.6</v>
      </c>
      <c r="N211" s="191">
        <v>51.4</v>
      </c>
      <c r="O211" s="192">
        <v>152.22999999999999</v>
      </c>
      <c r="P211" s="177">
        <v>1.96</v>
      </c>
      <c r="Q211" s="178">
        <v>191</v>
      </c>
      <c r="R211" s="178">
        <v>0</v>
      </c>
      <c r="S211" s="178">
        <v>0</v>
      </c>
      <c r="T211" s="178">
        <v>0.32</v>
      </c>
    </row>
    <row r="212" spans="1:44" x14ac:dyDescent="0.25">
      <c r="A212" s="174" t="s">
        <v>229</v>
      </c>
      <c r="B212" s="180" t="s">
        <v>24</v>
      </c>
      <c r="C212" s="175">
        <v>180</v>
      </c>
      <c r="D212" s="175">
        <v>4.2300000000000004</v>
      </c>
      <c r="E212" s="175">
        <v>6.34</v>
      </c>
      <c r="F212" s="175">
        <v>53.39</v>
      </c>
      <c r="G212" s="2">
        <f t="shared" si="85"/>
        <v>287.54000000000002</v>
      </c>
      <c r="H212" s="175">
        <v>0.03</v>
      </c>
      <c r="I212" s="175">
        <v>3</v>
      </c>
      <c r="J212" s="175">
        <v>29.1</v>
      </c>
      <c r="K212" s="175">
        <v>1.6E-2</v>
      </c>
      <c r="L212" s="175">
        <v>1.75</v>
      </c>
      <c r="M212" s="175">
        <v>18</v>
      </c>
      <c r="N212" s="175">
        <v>19</v>
      </c>
      <c r="O212" s="175">
        <v>11</v>
      </c>
      <c r="P212" s="177">
        <v>2.6</v>
      </c>
      <c r="Q212" s="178">
        <v>116.8</v>
      </c>
      <c r="R212" s="178">
        <v>3.5999999999999999E-3</v>
      </c>
      <c r="S212" s="178">
        <v>8.9999999999999993E-3</v>
      </c>
      <c r="T212" s="178">
        <v>0.6</v>
      </c>
    </row>
    <row r="213" spans="1:44" x14ac:dyDescent="0.25">
      <c r="A213" s="131" t="s">
        <v>162</v>
      </c>
      <c r="B213" s="30" t="s">
        <v>224</v>
      </c>
      <c r="C213" s="194">
        <v>100</v>
      </c>
      <c r="D213" s="194">
        <v>1.8</v>
      </c>
      <c r="E213" s="194">
        <v>2.9</v>
      </c>
      <c r="F213" s="89">
        <f>2.22*30/100</f>
        <v>0.66600000000000004</v>
      </c>
      <c r="G213" s="2">
        <f t="shared" si="85"/>
        <v>35.963999999999999</v>
      </c>
      <c r="H213" s="194">
        <v>0</v>
      </c>
      <c r="I213" s="194">
        <v>0</v>
      </c>
      <c r="J213" s="194">
        <v>0</v>
      </c>
      <c r="K213" s="194">
        <v>0</v>
      </c>
      <c r="L213" s="199">
        <v>0</v>
      </c>
      <c r="M213" s="194">
        <v>5</v>
      </c>
      <c r="N213" s="194">
        <v>0</v>
      </c>
      <c r="O213" s="194">
        <v>4</v>
      </c>
      <c r="P213" s="194">
        <v>0.24</v>
      </c>
      <c r="Q213" s="194">
        <v>37.200000000000003</v>
      </c>
      <c r="R213" s="194">
        <v>2E-3</v>
      </c>
      <c r="S213" s="194">
        <v>2.0000000000000001E-4</v>
      </c>
      <c r="T213" s="194">
        <v>0.25</v>
      </c>
    </row>
    <row r="214" spans="1:44" ht="21.95" customHeight="1" x14ac:dyDescent="0.25">
      <c r="A214" s="197" t="s">
        <v>39</v>
      </c>
      <c r="B214" s="198" t="s">
        <v>36</v>
      </c>
      <c r="C214" s="199">
        <v>200</v>
      </c>
      <c r="D214" s="199">
        <v>0.8</v>
      </c>
      <c r="E214" s="199">
        <v>0</v>
      </c>
      <c r="F214" s="199">
        <v>21.98</v>
      </c>
      <c r="G214" s="2">
        <f t="shared" si="85"/>
        <v>91.12</v>
      </c>
      <c r="H214" s="199">
        <v>0</v>
      </c>
      <c r="I214" s="199">
        <v>0.1</v>
      </c>
      <c r="J214" s="199">
        <v>0</v>
      </c>
      <c r="K214" s="199">
        <v>0</v>
      </c>
      <c r="L214" s="199">
        <v>0</v>
      </c>
      <c r="M214" s="199">
        <v>5.25</v>
      </c>
      <c r="N214" s="199">
        <v>4.4000000000000004</v>
      </c>
      <c r="O214" s="199">
        <v>8.24</v>
      </c>
      <c r="P214" s="200">
        <v>0.86</v>
      </c>
      <c r="Q214" s="194">
        <v>68</v>
      </c>
      <c r="R214" s="194">
        <v>1.0999999999999999E-2</v>
      </c>
      <c r="S214" s="194">
        <v>0</v>
      </c>
      <c r="T214" s="194">
        <v>0</v>
      </c>
      <c r="AB214" s="199"/>
      <c r="AC214" s="199"/>
      <c r="AD214" s="199"/>
      <c r="AE214" s="199"/>
      <c r="AF214" s="199"/>
      <c r="AG214" s="199"/>
      <c r="AH214" s="199"/>
      <c r="AI214" s="199"/>
      <c r="AJ214" s="199"/>
      <c r="AK214" s="199"/>
      <c r="AL214" s="199"/>
      <c r="AM214" s="199"/>
      <c r="AN214" s="200"/>
      <c r="AO214" s="194"/>
      <c r="AP214" s="194"/>
      <c r="AQ214" s="194"/>
      <c r="AR214" s="194"/>
    </row>
    <row r="215" spans="1:44" x14ac:dyDescent="0.25">
      <c r="A215" s="48" t="s">
        <v>93</v>
      </c>
      <c r="B215" s="198" t="s">
        <v>25</v>
      </c>
      <c r="C215" s="21">
        <v>25</v>
      </c>
      <c r="D215" s="21">
        <v>1.52</v>
      </c>
      <c r="E215" s="21">
        <v>0.16</v>
      </c>
      <c r="F215" s="21">
        <v>9.98</v>
      </c>
      <c r="G215" s="2">
        <f t="shared" si="85"/>
        <v>47.44</v>
      </c>
      <c r="H215" s="21">
        <v>0.08</v>
      </c>
      <c r="I215" s="21">
        <v>0.04</v>
      </c>
      <c r="J215" s="21">
        <v>0</v>
      </c>
      <c r="K215" s="21">
        <v>0</v>
      </c>
      <c r="L215" s="21">
        <v>0</v>
      </c>
      <c r="M215" s="21">
        <v>15</v>
      </c>
      <c r="N215" s="21">
        <v>8.1999999999999993</v>
      </c>
      <c r="O215" s="21">
        <v>13</v>
      </c>
      <c r="P215" s="72">
        <v>0.72</v>
      </c>
      <c r="Q215" s="194">
        <v>18.2</v>
      </c>
      <c r="R215" s="194">
        <v>6.0000000000000001E-3</v>
      </c>
      <c r="S215" s="194">
        <v>1E-3</v>
      </c>
      <c r="T215" s="194">
        <v>0</v>
      </c>
    </row>
    <row r="216" spans="1:44" x14ac:dyDescent="0.25">
      <c r="A216" s="48" t="s">
        <v>94</v>
      </c>
      <c r="B216" s="3" t="s">
        <v>27</v>
      </c>
      <c r="C216" s="199">
        <v>25</v>
      </c>
      <c r="D216" s="199">
        <v>1.3</v>
      </c>
      <c r="E216" s="199">
        <v>0.24</v>
      </c>
      <c r="F216" s="199">
        <v>8.36</v>
      </c>
      <c r="G216" s="2">
        <f t="shared" si="85"/>
        <v>40.799999999999997</v>
      </c>
      <c r="H216" s="199">
        <v>0.03</v>
      </c>
      <c r="I216" s="199">
        <v>0</v>
      </c>
      <c r="J216" s="199">
        <v>0</v>
      </c>
      <c r="K216" s="199">
        <v>0</v>
      </c>
      <c r="L216" s="199">
        <v>0</v>
      </c>
      <c r="M216" s="199">
        <v>5.08</v>
      </c>
      <c r="N216" s="199">
        <v>4.96</v>
      </c>
      <c r="O216" s="199">
        <v>40</v>
      </c>
      <c r="P216" s="200">
        <v>0.4</v>
      </c>
      <c r="Q216" s="194">
        <v>16.2</v>
      </c>
      <c r="R216" s="194">
        <v>6.0000000000000001E-3</v>
      </c>
      <c r="S216" s="194">
        <v>1E-3</v>
      </c>
      <c r="T216" s="194">
        <v>0</v>
      </c>
    </row>
    <row r="217" spans="1:44" x14ac:dyDescent="0.25">
      <c r="A217" s="225" t="s">
        <v>18</v>
      </c>
      <c r="B217" s="266"/>
      <c r="C217" s="119">
        <v>905</v>
      </c>
      <c r="D217" s="14">
        <f>SUM(D210:D216)</f>
        <v>32.26</v>
      </c>
      <c r="E217" s="14">
        <f t="shared" ref="E217:G217" si="86">SUM(E210:E216)</f>
        <v>38.769999999999996</v>
      </c>
      <c r="F217" s="14">
        <f t="shared" si="86"/>
        <v>145.54599999999999</v>
      </c>
      <c r="G217" s="14">
        <f t="shared" si="86"/>
        <v>1060.1539999999998</v>
      </c>
      <c r="H217" s="63">
        <f t="shared" ref="H217:O217" si="87">SUM(H210:H216)</f>
        <v>0.65</v>
      </c>
      <c r="I217" s="63">
        <f t="shared" si="87"/>
        <v>26.164999999999999</v>
      </c>
      <c r="J217" s="63">
        <f t="shared" si="87"/>
        <v>325.90000000000003</v>
      </c>
      <c r="K217" s="63">
        <f t="shared" si="87"/>
        <v>0.52</v>
      </c>
      <c r="L217" s="63">
        <f t="shared" si="87"/>
        <v>4.32</v>
      </c>
      <c r="M217" s="63">
        <f t="shared" si="87"/>
        <v>301.13</v>
      </c>
      <c r="N217" s="63">
        <f t="shared" si="87"/>
        <v>108.26</v>
      </c>
      <c r="O217" s="63">
        <f t="shared" si="87"/>
        <v>355.17</v>
      </c>
      <c r="P217" s="63">
        <f>SUM(P210:P216)</f>
        <v>7.9</v>
      </c>
      <c r="Q217" s="63">
        <f t="shared" ref="Q217:T217" si="88">SUM(Q210:Q216)</f>
        <v>561.40000000000009</v>
      </c>
      <c r="R217" s="94">
        <f>SUM(R210:R216)</f>
        <v>2.86E-2</v>
      </c>
      <c r="S217" s="63">
        <f t="shared" si="88"/>
        <v>1.1200000000000002E-2</v>
      </c>
      <c r="T217" s="63">
        <f t="shared" si="88"/>
        <v>1.9500000000000002</v>
      </c>
    </row>
    <row r="218" spans="1:44" ht="24" customHeight="1" x14ac:dyDescent="0.25">
      <c r="A218" s="280" t="s">
        <v>40</v>
      </c>
      <c r="B218" s="242"/>
      <c r="C218" s="242"/>
      <c r="D218" s="242"/>
      <c r="E218" s="242"/>
      <c r="F218" s="242"/>
      <c r="G218" s="242"/>
      <c r="H218" s="242"/>
      <c r="I218" s="242"/>
      <c r="J218" s="242"/>
      <c r="K218" s="242"/>
      <c r="L218" s="242"/>
      <c r="M218" s="242"/>
      <c r="N218" s="242"/>
      <c r="O218" s="242"/>
      <c r="P218" s="242"/>
      <c r="Q218" s="120"/>
      <c r="R218" s="120"/>
      <c r="S218" s="120"/>
      <c r="T218" s="120"/>
    </row>
    <row r="219" spans="1:44" ht="33.6" customHeight="1" x14ac:dyDescent="0.25">
      <c r="A219" s="197" t="s">
        <v>118</v>
      </c>
      <c r="B219" s="198" t="s">
        <v>41</v>
      </c>
      <c r="C219" s="199">
        <v>200</v>
      </c>
      <c r="D219" s="199">
        <v>5.42</v>
      </c>
      <c r="E219" s="199">
        <v>3</v>
      </c>
      <c r="F219" s="199">
        <v>19.14</v>
      </c>
      <c r="G219" s="199">
        <f>(9*E219)+4*(F219+D219)</f>
        <v>125.24000000000001</v>
      </c>
      <c r="H219" s="199">
        <v>0.09</v>
      </c>
      <c r="I219" s="199">
        <v>0.18</v>
      </c>
      <c r="J219" s="199">
        <v>28.3</v>
      </c>
      <c r="K219" s="199">
        <v>0.13</v>
      </c>
      <c r="L219" s="199">
        <v>0</v>
      </c>
      <c r="M219" s="199">
        <v>242</v>
      </c>
      <c r="N219" s="199">
        <v>30</v>
      </c>
      <c r="O219" s="199">
        <v>186</v>
      </c>
      <c r="P219" s="200">
        <v>0.2</v>
      </c>
      <c r="Q219" s="194">
        <v>94.3</v>
      </c>
      <c r="R219" s="194">
        <v>1.7999999999999999E-2</v>
      </c>
      <c r="S219" s="194">
        <v>4.0000000000000001E-3</v>
      </c>
      <c r="T219" s="194">
        <v>0.04</v>
      </c>
    </row>
    <row r="220" spans="1:44" x14ac:dyDescent="0.25">
      <c r="A220" s="48" t="s">
        <v>96</v>
      </c>
      <c r="B220" s="198" t="s">
        <v>83</v>
      </c>
      <c r="C220" s="199">
        <v>55</v>
      </c>
      <c r="D220" s="213">
        <v>10.83</v>
      </c>
      <c r="E220" s="213">
        <v>4.1500000000000004</v>
      </c>
      <c r="F220" s="213">
        <v>49.25</v>
      </c>
      <c r="G220" s="11">
        <f t="shared" ref="G220" si="89">(9*E220)+4*(F220+D220)</f>
        <v>277.67</v>
      </c>
      <c r="H220" s="213">
        <v>0.2</v>
      </c>
      <c r="I220" s="213">
        <v>5.9</v>
      </c>
      <c r="J220" s="213">
        <v>54</v>
      </c>
      <c r="K220" s="213">
        <v>0.3</v>
      </c>
      <c r="L220" s="213">
        <v>0.8</v>
      </c>
      <c r="M220" s="213">
        <v>43</v>
      </c>
      <c r="N220" s="213">
        <v>4</v>
      </c>
      <c r="O220" s="213">
        <v>78.7</v>
      </c>
      <c r="P220" s="214">
        <v>0.82399999999999995</v>
      </c>
      <c r="Q220" s="212">
        <v>25</v>
      </c>
      <c r="R220" s="212">
        <v>0.02</v>
      </c>
      <c r="S220" s="212">
        <v>0</v>
      </c>
      <c r="T220" s="212">
        <v>0.5</v>
      </c>
    </row>
    <row r="221" spans="1:44" x14ac:dyDescent="0.25">
      <c r="A221" s="116" t="s">
        <v>154</v>
      </c>
      <c r="B221" s="198" t="s">
        <v>73</v>
      </c>
      <c r="C221" s="199">
        <v>100</v>
      </c>
      <c r="D221" s="199">
        <v>0.42</v>
      </c>
      <c r="E221" s="199">
        <v>0.41</v>
      </c>
      <c r="F221" s="199">
        <v>13.24</v>
      </c>
      <c r="G221" s="199">
        <f t="shared" ref="G221" si="90">(9*E221)+4*(F221+D221)</f>
        <v>58.33</v>
      </c>
      <c r="H221" s="202">
        <v>0.03</v>
      </c>
      <c r="I221" s="202">
        <v>10</v>
      </c>
      <c r="J221" s="202">
        <v>0.03</v>
      </c>
      <c r="K221" s="202">
        <v>0.02</v>
      </c>
      <c r="L221" s="202">
        <v>0</v>
      </c>
      <c r="M221" s="202">
        <v>9.5</v>
      </c>
      <c r="N221" s="202">
        <v>7</v>
      </c>
      <c r="O221" s="202">
        <v>9.5</v>
      </c>
      <c r="P221" s="201">
        <v>1.2</v>
      </c>
      <c r="Q221" s="194">
        <v>0.4</v>
      </c>
      <c r="R221" s="194">
        <v>7.0000000000000001E-3</v>
      </c>
      <c r="S221" s="194">
        <v>0</v>
      </c>
      <c r="T221" s="194">
        <v>0.5</v>
      </c>
    </row>
    <row r="222" spans="1:44" ht="24" customHeight="1" x14ac:dyDescent="0.25">
      <c r="A222" s="225" t="s">
        <v>18</v>
      </c>
      <c r="B222" s="266"/>
      <c r="C222" s="119">
        <f>SUM(C219:C221)</f>
        <v>355</v>
      </c>
      <c r="D222" s="4">
        <f>SUM(D219:D221)</f>
        <v>16.670000000000002</v>
      </c>
      <c r="E222" s="4">
        <f t="shared" ref="E222:G222" si="91">SUM(E219:E221)</f>
        <v>7.5600000000000005</v>
      </c>
      <c r="F222" s="4">
        <f t="shared" si="91"/>
        <v>81.63</v>
      </c>
      <c r="G222" s="4">
        <f t="shared" si="91"/>
        <v>461.24</v>
      </c>
      <c r="H222" s="5">
        <f>SUM(H219:H221)</f>
        <v>0.32000000000000006</v>
      </c>
      <c r="I222" s="5">
        <f t="shared" ref="I222:T222" si="92">SUM(I219:I221)</f>
        <v>16.079999999999998</v>
      </c>
      <c r="J222" s="5">
        <f t="shared" si="92"/>
        <v>82.33</v>
      </c>
      <c r="K222" s="5">
        <f t="shared" si="92"/>
        <v>0.45</v>
      </c>
      <c r="L222" s="5">
        <f t="shared" si="92"/>
        <v>0.8</v>
      </c>
      <c r="M222" s="5">
        <f t="shared" si="92"/>
        <v>294.5</v>
      </c>
      <c r="N222" s="5">
        <f t="shared" si="92"/>
        <v>41</v>
      </c>
      <c r="O222" s="5">
        <f t="shared" si="92"/>
        <v>274.2</v>
      </c>
      <c r="P222" s="5">
        <f t="shared" si="92"/>
        <v>2.2240000000000002</v>
      </c>
      <c r="Q222" s="5">
        <f t="shared" si="92"/>
        <v>119.7</v>
      </c>
      <c r="R222" s="5">
        <f t="shared" si="92"/>
        <v>4.4999999999999998E-2</v>
      </c>
      <c r="S222" s="5">
        <f t="shared" si="92"/>
        <v>4.0000000000000001E-3</v>
      </c>
      <c r="T222" s="5">
        <f t="shared" si="92"/>
        <v>1.04</v>
      </c>
    </row>
    <row r="223" spans="1:44" ht="24" customHeight="1" x14ac:dyDescent="0.25">
      <c r="A223" s="244" t="s">
        <v>20</v>
      </c>
      <c r="B223" s="245"/>
      <c r="C223" s="44">
        <f>+C208+C217+C222</f>
        <v>1825</v>
      </c>
      <c r="D223" s="14">
        <f>D222+D217+D208</f>
        <v>72.02</v>
      </c>
      <c r="E223" s="14">
        <f t="shared" ref="E223:T223" si="93">E222+E217+E208</f>
        <v>71.97</v>
      </c>
      <c r="F223" s="14">
        <f t="shared" si="93"/>
        <v>302.661</v>
      </c>
      <c r="G223" s="14">
        <f t="shared" si="93"/>
        <v>2146.4539999999997</v>
      </c>
      <c r="H223" s="179">
        <f t="shared" si="93"/>
        <v>1.252</v>
      </c>
      <c r="I223" s="41">
        <f t="shared" si="93"/>
        <v>58.375</v>
      </c>
      <c r="J223" s="41">
        <f t="shared" si="93"/>
        <v>705.98</v>
      </c>
      <c r="K223" s="41">
        <f t="shared" si="93"/>
        <v>1.52</v>
      </c>
      <c r="L223" s="41">
        <f t="shared" si="93"/>
        <v>7.8</v>
      </c>
      <c r="M223" s="41">
        <f t="shared" si="93"/>
        <v>947.05</v>
      </c>
      <c r="N223" s="41">
        <f t="shared" si="93"/>
        <v>238</v>
      </c>
      <c r="O223" s="41">
        <f t="shared" si="93"/>
        <v>946.37</v>
      </c>
      <c r="P223" s="41">
        <f t="shared" si="93"/>
        <v>14.274000000000001</v>
      </c>
      <c r="Q223" s="41">
        <f t="shared" si="93"/>
        <v>945.10000000000014</v>
      </c>
      <c r="R223" s="211">
        <f t="shared" si="93"/>
        <v>9.4799999999999995E-2</v>
      </c>
      <c r="S223" s="211">
        <f t="shared" si="93"/>
        <v>3.49E-2</v>
      </c>
      <c r="T223" s="41">
        <f t="shared" si="93"/>
        <v>3.5571000000000002</v>
      </c>
    </row>
    <row r="224" spans="1:44" ht="24" customHeight="1" x14ac:dyDescent="0.25">
      <c r="A224" s="279" t="s">
        <v>50</v>
      </c>
      <c r="B224" s="279"/>
      <c r="C224" s="279"/>
      <c r="D224" s="279"/>
      <c r="E224" s="279"/>
      <c r="F224" s="279"/>
      <c r="G224" s="279"/>
      <c r="H224" s="279"/>
      <c r="I224" s="279"/>
      <c r="J224" s="279"/>
      <c r="K224" s="279"/>
      <c r="L224" s="279"/>
      <c r="M224" s="279"/>
      <c r="N224" s="279"/>
      <c r="O224" s="279"/>
      <c r="P224" s="279"/>
      <c r="Q224" s="279"/>
      <c r="R224" s="279"/>
      <c r="S224" s="279"/>
      <c r="T224" s="279"/>
    </row>
    <row r="225" spans="1:20" ht="24" customHeight="1" x14ac:dyDescent="0.25">
      <c r="A225" s="244" t="s">
        <v>17</v>
      </c>
      <c r="B225" s="244"/>
      <c r="C225" s="244"/>
      <c r="D225" s="244"/>
      <c r="E225" s="244"/>
      <c r="F225" s="244"/>
      <c r="G225" s="244"/>
      <c r="H225" s="244"/>
      <c r="I225" s="244"/>
      <c r="J225" s="244"/>
      <c r="K225" s="244"/>
      <c r="L225" s="244"/>
      <c r="M225" s="244"/>
      <c r="N225" s="244"/>
      <c r="O225" s="244"/>
      <c r="P225" s="244"/>
      <c r="Q225" s="244"/>
      <c r="R225" s="244"/>
      <c r="S225" s="244"/>
      <c r="T225" s="244"/>
    </row>
    <row r="226" spans="1:20" x14ac:dyDescent="0.25">
      <c r="A226" s="193"/>
      <c r="B226" s="198" t="s">
        <v>230</v>
      </c>
      <c r="C226" s="199" t="s">
        <v>91</v>
      </c>
      <c r="D226" s="199">
        <v>13.3</v>
      </c>
      <c r="E226" s="199">
        <v>12.1</v>
      </c>
      <c r="F226" s="199">
        <v>41.69</v>
      </c>
      <c r="G226" s="199">
        <f>(9*E226)+4*(F226+D226)</f>
        <v>328.85999999999996</v>
      </c>
      <c r="H226" s="199">
        <v>0.32</v>
      </c>
      <c r="I226" s="199">
        <v>6.8</v>
      </c>
      <c r="J226" s="199">
        <v>149.6</v>
      </c>
      <c r="K226" s="199">
        <v>0.12</v>
      </c>
      <c r="L226" s="199">
        <v>2.8</v>
      </c>
      <c r="M226" s="199">
        <v>101.28</v>
      </c>
      <c r="N226" s="199">
        <v>66.790000000000006</v>
      </c>
      <c r="O226" s="199">
        <v>86.44</v>
      </c>
      <c r="P226" s="199">
        <v>2.16</v>
      </c>
      <c r="Q226" s="194">
        <v>81.900000000000006</v>
      </c>
      <c r="R226" s="194">
        <v>0</v>
      </c>
      <c r="S226" s="194">
        <v>2.8999999999999998E-3</v>
      </c>
      <c r="T226" s="194">
        <v>1.2999999999999999E-2</v>
      </c>
    </row>
    <row r="227" spans="1:20" x14ac:dyDescent="0.25">
      <c r="A227" s="197" t="s">
        <v>101</v>
      </c>
      <c r="B227" s="198" t="s">
        <v>74</v>
      </c>
      <c r="C227" s="199">
        <v>75</v>
      </c>
      <c r="D227" s="199">
        <v>9.1999999999999993</v>
      </c>
      <c r="E227" s="199">
        <v>10.57</v>
      </c>
      <c r="F227" s="199">
        <v>23.68</v>
      </c>
      <c r="G227" s="199">
        <f t="shared" ref="G227:G229" si="94">(9*E227)+4*(F227+D227)</f>
        <v>226.64999999999998</v>
      </c>
      <c r="H227" s="199">
        <v>4.8000000000000001E-2</v>
      </c>
      <c r="I227" s="199">
        <v>0.04</v>
      </c>
      <c r="J227" s="199">
        <v>102.4</v>
      </c>
      <c r="K227" s="199">
        <v>2.3E-2</v>
      </c>
      <c r="L227" s="199">
        <v>0.7</v>
      </c>
      <c r="M227" s="199">
        <v>62.52</v>
      </c>
      <c r="N227" s="199">
        <v>6.62</v>
      </c>
      <c r="O227" s="199">
        <v>36.700000000000003</v>
      </c>
      <c r="P227" s="200">
        <v>1.2430000000000001</v>
      </c>
      <c r="Q227" s="194">
        <v>36.200000000000003</v>
      </c>
      <c r="R227" s="194">
        <v>1E-3</v>
      </c>
      <c r="S227" s="194">
        <v>3.0000000000000001E-3</v>
      </c>
      <c r="T227" s="194">
        <v>0.52</v>
      </c>
    </row>
    <row r="228" spans="1:20" ht="25.5" x14ac:dyDescent="0.25">
      <c r="A228" s="47" t="s">
        <v>193</v>
      </c>
      <c r="B228" s="1" t="s">
        <v>194</v>
      </c>
      <c r="C228" s="175">
        <v>200</v>
      </c>
      <c r="D228" s="175">
        <v>0</v>
      </c>
      <c r="E228" s="175">
        <v>0</v>
      </c>
      <c r="F228" s="175">
        <f>11.75*2</f>
        <v>23.5</v>
      </c>
      <c r="G228" s="199">
        <f t="shared" si="94"/>
        <v>94</v>
      </c>
      <c r="H228" s="175">
        <v>2E-3</v>
      </c>
      <c r="I228" s="175">
        <v>1.83</v>
      </c>
      <c r="J228" s="175">
        <v>0</v>
      </c>
      <c r="K228" s="175">
        <v>0</v>
      </c>
      <c r="L228" s="175">
        <v>0</v>
      </c>
      <c r="M228" s="175">
        <v>100.76</v>
      </c>
      <c r="N228" s="175">
        <v>2.4</v>
      </c>
      <c r="O228" s="175">
        <v>104</v>
      </c>
      <c r="P228" s="177">
        <v>0.15</v>
      </c>
      <c r="Q228" s="178">
        <v>110</v>
      </c>
      <c r="R228" s="178">
        <v>0</v>
      </c>
      <c r="S228" s="178">
        <v>0</v>
      </c>
      <c r="T228" s="178">
        <v>0</v>
      </c>
    </row>
    <row r="229" spans="1:20" x14ac:dyDescent="0.25">
      <c r="A229" s="197" t="s">
        <v>134</v>
      </c>
      <c r="B229" s="198" t="s">
        <v>25</v>
      </c>
      <c r="C229" s="199">
        <v>50</v>
      </c>
      <c r="D229" s="21">
        <v>1.52</v>
      </c>
      <c r="E229" s="21">
        <v>0.16</v>
      </c>
      <c r="F229" s="21">
        <v>9.98</v>
      </c>
      <c r="G229" s="199">
        <f t="shared" si="94"/>
        <v>47.44</v>
      </c>
      <c r="H229" s="21">
        <v>0.08</v>
      </c>
      <c r="I229" s="21">
        <v>0.04</v>
      </c>
      <c r="J229" s="21">
        <v>0</v>
      </c>
      <c r="K229" s="21">
        <v>0</v>
      </c>
      <c r="L229" s="21">
        <v>0</v>
      </c>
      <c r="M229" s="21">
        <v>15</v>
      </c>
      <c r="N229" s="21">
        <v>8.1999999999999993</v>
      </c>
      <c r="O229" s="21">
        <v>13</v>
      </c>
      <c r="P229" s="72">
        <v>0.72</v>
      </c>
      <c r="Q229" s="194">
        <v>18.2</v>
      </c>
      <c r="R229" s="194">
        <v>6.0000000000000001E-3</v>
      </c>
      <c r="S229" s="194">
        <v>1E-3</v>
      </c>
      <c r="T229" s="194">
        <v>0</v>
      </c>
    </row>
    <row r="230" spans="1:20" x14ac:dyDescent="0.25">
      <c r="A230" s="244" t="s">
        <v>18</v>
      </c>
      <c r="B230" s="245"/>
      <c r="C230" s="44">
        <v>555</v>
      </c>
      <c r="D230" s="4">
        <f t="shared" ref="D230:T230" si="95">SUM(D226:D229)</f>
        <v>24.02</v>
      </c>
      <c r="E230" s="4">
        <f t="shared" si="95"/>
        <v>22.830000000000002</v>
      </c>
      <c r="F230" s="70">
        <f t="shared" si="95"/>
        <v>98.850000000000009</v>
      </c>
      <c r="G230" s="70">
        <f t="shared" si="95"/>
        <v>696.95</v>
      </c>
      <c r="H230" s="13">
        <f t="shared" si="95"/>
        <v>0.45</v>
      </c>
      <c r="I230" s="13">
        <f t="shared" si="95"/>
        <v>8.7099999999999991</v>
      </c>
      <c r="J230" s="13">
        <f t="shared" si="95"/>
        <v>252</v>
      </c>
      <c r="K230" s="13">
        <f t="shared" si="95"/>
        <v>0.14299999999999999</v>
      </c>
      <c r="L230" s="13">
        <f t="shared" si="95"/>
        <v>3.5</v>
      </c>
      <c r="M230" s="13">
        <f t="shared" si="95"/>
        <v>279.56</v>
      </c>
      <c r="N230" s="13">
        <f t="shared" si="95"/>
        <v>84.010000000000019</v>
      </c>
      <c r="O230" s="13">
        <f t="shared" si="95"/>
        <v>240.14</v>
      </c>
      <c r="P230" s="13">
        <f t="shared" si="95"/>
        <v>4.2730000000000006</v>
      </c>
      <c r="Q230" s="13">
        <f t="shared" si="95"/>
        <v>246.3</v>
      </c>
      <c r="R230" s="13">
        <f t="shared" si="95"/>
        <v>7.0000000000000001E-3</v>
      </c>
      <c r="S230" s="13">
        <f t="shared" si="95"/>
        <v>6.8999999999999999E-3</v>
      </c>
      <c r="T230" s="13">
        <f t="shared" si="95"/>
        <v>0.53300000000000003</v>
      </c>
    </row>
    <row r="231" spans="1:20" x14ac:dyDescent="0.25">
      <c r="A231" s="244" t="s">
        <v>19</v>
      </c>
      <c r="B231" s="244"/>
      <c r="C231" s="244"/>
      <c r="D231" s="244"/>
      <c r="E231" s="244"/>
      <c r="F231" s="244"/>
      <c r="G231" s="244"/>
      <c r="H231" s="244"/>
      <c r="I231" s="244"/>
      <c r="J231" s="244"/>
      <c r="K231" s="244"/>
      <c r="L231" s="244"/>
      <c r="M231" s="244"/>
      <c r="N231" s="244"/>
      <c r="O231" s="244"/>
      <c r="P231" s="244"/>
      <c r="Q231" s="120"/>
      <c r="R231" s="120"/>
      <c r="S231" s="120"/>
      <c r="T231" s="120"/>
    </row>
    <row r="232" spans="1:20" x14ac:dyDescent="0.25">
      <c r="A232" s="196" t="s">
        <v>153</v>
      </c>
      <c r="B232" s="198" t="s">
        <v>231</v>
      </c>
      <c r="C232" s="199" t="s">
        <v>139</v>
      </c>
      <c r="D232" s="199">
        <v>7.04</v>
      </c>
      <c r="E232" s="199">
        <v>5.3</v>
      </c>
      <c r="F232" s="199">
        <v>24.38</v>
      </c>
      <c r="G232" s="199">
        <f>D232*4+E232*9+F232*4</f>
        <v>173.38</v>
      </c>
      <c r="H232" s="199">
        <v>0.02</v>
      </c>
      <c r="I232" s="199">
        <v>4.9000000000000004</v>
      </c>
      <c r="J232" s="199">
        <v>87</v>
      </c>
      <c r="K232" s="199">
        <v>0.08</v>
      </c>
      <c r="L232" s="199">
        <v>2.27</v>
      </c>
      <c r="M232" s="199">
        <v>118.8</v>
      </c>
      <c r="N232" s="199">
        <v>38.9</v>
      </c>
      <c r="O232" s="199">
        <v>104.4</v>
      </c>
      <c r="P232" s="200">
        <v>1.02</v>
      </c>
      <c r="Q232" s="194">
        <v>84.66</v>
      </c>
      <c r="R232" s="194">
        <v>3.0000000000000001E-3</v>
      </c>
      <c r="S232" s="194">
        <v>6.0000000000000001E-3</v>
      </c>
      <c r="T232" s="194">
        <v>0.184</v>
      </c>
    </row>
    <row r="233" spans="1:20" ht="25.5" x14ac:dyDescent="0.25">
      <c r="A233" s="47" t="s">
        <v>232</v>
      </c>
      <c r="B233" s="30" t="s">
        <v>233</v>
      </c>
      <c r="C233" s="202">
        <v>100</v>
      </c>
      <c r="D233" s="181">
        <v>4.4800000000000004</v>
      </c>
      <c r="E233" s="181">
        <v>6.52</v>
      </c>
      <c r="F233" s="181">
        <v>15.28</v>
      </c>
      <c r="G233" s="199">
        <f t="shared" ref="G233:G238" si="96">D233*4+E233*9+F233*4</f>
        <v>137.72</v>
      </c>
      <c r="H233" s="202">
        <v>1.7999999999999999E-2</v>
      </c>
      <c r="I233" s="202">
        <v>3.75</v>
      </c>
      <c r="J233" s="202">
        <v>196</v>
      </c>
      <c r="K233" s="202">
        <v>0</v>
      </c>
      <c r="L233" s="202">
        <v>0</v>
      </c>
      <c r="M233" s="202">
        <v>161</v>
      </c>
      <c r="N233" s="202">
        <v>25</v>
      </c>
      <c r="O233" s="202">
        <v>189</v>
      </c>
      <c r="P233" s="201">
        <v>0.15</v>
      </c>
      <c r="Q233" s="194">
        <v>92</v>
      </c>
      <c r="R233" s="194">
        <v>0</v>
      </c>
      <c r="S233" s="194">
        <v>1.8E-3</v>
      </c>
      <c r="T233" s="194">
        <v>2</v>
      </c>
    </row>
    <row r="234" spans="1:20" x14ac:dyDescent="0.25">
      <c r="A234" s="47" t="s">
        <v>234</v>
      </c>
      <c r="B234" s="1" t="s">
        <v>28</v>
      </c>
      <c r="C234" s="175">
        <v>180</v>
      </c>
      <c r="D234" s="175">
        <f>22.94*0.7</f>
        <v>16.058</v>
      </c>
      <c r="E234" s="175">
        <v>15.75</v>
      </c>
      <c r="F234" s="175">
        <v>45.71</v>
      </c>
      <c r="G234" s="199">
        <f t="shared" si="96"/>
        <v>388.822</v>
      </c>
      <c r="H234" s="175">
        <v>0.16</v>
      </c>
      <c r="I234" s="175">
        <v>2.2000000000000002</v>
      </c>
      <c r="J234" s="175">
        <v>16.399999999999999</v>
      </c>
      <c r="K234" s="175">
        <v>0.17499999999999999</v>
      </c>
      <c r="L234" s="175">
        <v>0.3</v>
      </c>
      <c r="M234" s="175">
        <v>99.8</v>
      </c>
      <c r="N234" s="175">
        <v>22.1</v>
      </c>
      <c r="O234" s="175">
        <v>121.4</v>
      </c>
      <c r="P234" s="177">
        <v>2.67</v>
      </c>
      <c r="Q234" s="178">
        <v>96.3</v>
      </c>
      <c r="R234" s="178">
        <v>0</v>
      </c>
      <c r="S234" s="178">
        <v>1.4999999999999999E-2</v>
      </c>
      <c r="T234" s="178">
        <v>0.76</v>
      </c>
    </row>
    <row r="235" spans="1:20" x14ac:dyDescent="0.25">
      <c r="A235" s="174" t="s">
        <v>235</v>
      </c>
      <c r="B235" s="1" t="s">
        <v>238</v>
      </c>
      <c r="C235" s="175">
        <v>100</v>
      </c>
      <c r="D235" s="175">
        <f>3.24*1.5</f>
        <v>4.8600000000000003</v>
      </c>
      <c r="E235" s="175">
        <f>6.75*1.5</f>
        <v>10.125</v>
      </c>
      <c r="F235" s="175">
        <f>26.21*1.5</f>
        <v>39.314999999999998</v>
      </c>
      <c r="G235" s="199">
        <f t="shared" si="96"/>
        <v>267.82499999999999</v>
      </c>
      <c r="H235" s="175">
        <v>1.2E-2</v>
      </c>
      <c r="I235" s="175">
        <v>5.95</v>
      </c>
      <c r="J235" s="175">
        <v>25.4</v>
      </c>
      <c r="K235" s="175">
        <v>0.22</v>
      </c>
      <c r="L235" s="175">
        <v>1.2E-2</v>
      </c>
      <c r="M235" s="175">
        <v>89.67</v>
      </c>
      <c r="N235" s="175">
        <v>22.82</v>
      </c>
      <c r="O235" s="184">
        <v>85.03</v>
      </c>
      <c r="P235" s="177">
        <v>0.81</v>
      </c>
      <c r="Q235" s="178">
        <v>200.6</v>
      </c>
      <c r="R235" s="178">
        <v>2E-3</v>
      </c>
      <c r="S235" s="178">
        <v>6.0000000000000001E-3</v>
      </c>
      <c r="T235" s="178">
        <v>0.54</v>
      </c>
    </row>
    <row r="236" spans="1:20" x14ac:dyDescent="0.25">
      <c r="A236" s="174" t="s">
        <v>236</v>
      </c>
      <c r="B236" s="1" t="s">
        <v>70</v>
      </c>
      <c r="C236" s="175">
        <v>200</v>
      </c>
      <c r="D236" s="175">
        <f>0.1*2</f>
        <v>0.2</v>
      </c>
      <c r="E236" s="175">
        <f>0.06*2</f>
        <v>0.12</v>
      </c>
      <c r="F236" s="175">
        <f>7.7*2</f>
        <v>15.4</v>
      </c>
      <c r="G236" s="199">
        <f t="shared" si="96"/>
        <v>63.480000000000004</v>
      </c>
      <c r="H236" s="175">
        <v>0</v>
      </c>
      <c r="I236" s="175">
        <v>0.1</v>
      </c>
      <c r="J236" s="175">
        <v>0</v>
      </c>
      <c r="K236" s="175">
        <v>0</v>
      </c>
      <c r="L236" s="175">
        <v>0</v>
      </c>
      <c r="M236" s="175">
        <v>5.25</v>
      </c>
      <c r="N236" s="175">
        <v>4.4000000000000004</v>
      </c>
      <c r="O236" s="175">
        <v>8.24</v>
      </c>
      <c r="P236" s="175">
        <v>0.86</v>
      </c>
      <c r="Q236" s="178">
        <v>0</v>
      </c>
      <c r="R236" s="178">
        <v>8.0000000000000002E-3</v>
      </c>
      <c r="S236" s="178">
        <v>0</v>
      </c>
      <c r="T236" s="178">
        <v>0.32</v>
      </c>
    </row>
    <row r="237" spans="1:20" x14ac:dyDescent="0.25">
      <c r="A237" s="48" t="s">
        <v>93</v>
      </c>
      <c r="B237" s="198" t="s">
        <v>25</v>
      </c>
      <c r="C237" s="199">
        <v>50</v>
      </c>
      <c r="D237" s="21">
        <v>1.52</v>
      </c>
      <c r="E237" s="21">
        <v>0.16</v>
      </c>
      <c r="F237" s="21">
        <v>9.98</v>
      </c>
      <c r="G237" s="199">
        <f t="shared" si="96"/>
        <v>47.44</v>
      </c>
      <c r="H237" s="21">
        <v>0.08</v>
      </c>
      <c r="I237" s="21">
        <v>0.04</v>
      </c>
      <c r="J237" s="21">
        <v>0</v>
      </c>
      <c r="K237" s="21">
        <v>0</v>
      </c>
      <c r="L237" s="21">
        <v>0</v>
      </c>
      <c r="M237" s="21">
        <v>15</v>
      </c>
      <c r="N237" s="21">
        <v>8.1999999999999993</v>
      </c>
      <c r="O237" s="21">
        <v>13</v>
      </c>
      <c r="P237" s="72">
        <v>0.72</v>
      </c>
      <c r="Q237" s="194">
        <v>18.2</v>
      </c>
      <c r="R237" s="194">
        <v>6.0000000000000001E-3</v>
      </c>
      <c r="S237" s="194">
        <v>1E-3</v>
      </c>
      <c r="T237" s="194">
        <v>0</v>
      </c>
    </row>
    <row r="238" spans="1:20" x14ac:dyDescent="0.25">
      <c r="A238" s="48" t="s">
        <v>94</v>
      </c>
      <c r="B238" s="3" t="s">
        <v>27</v>
      </c>
      <c r="C238" s="199">
        <v>50</v>
      </c>
      <c r="D238" s="199">
        <v>1.32</v>
      </c>
      <c r="E238" s="199">
        <v>0.24</v>
      </c>
      <c r="F238" s="199">
        <v>8.36</v>
      </c>
      <c r="G238" s="199">
        <f t="shared" si="96"/>
        <v>40.879999999999995</v>
      </c>
      <c r="H238" s="199">
        <v>0.03</v>
      </c>
      <c r="I238" s="199">
        <v>0</v>
      </c>
      <c r="J238" s="199">
        <v>0</v>
      </c>
      <c r="K238" s="199">
        <v>0</v>
      </c>
      <c r="L238" s="199">
        <v>0</v>
      </c>
      <c r="M238" s="199">
        <v>5.08</v>
      </c>
      <c r="N238" s="199">
        <v>4.96</v>
      </c>
      <c r="O238" s="199">
        <v>40</v>
      </c>
      <c r="P238" s="200">
        <v>0.4</v>
      </c>
      <c r="Q238" s="194">
        <v>16.2</v>
      </c>
      <c r="R238" s="194">
        <v>6.0000000000000001E-3</v>
      </c>
      <c r="S238" s="194">
        <v>1E-3</v>
      </c>
      <c r="T238" s="194">
        <v>0</v>
      </c>
    </row>
    <row r="239" spans="1:20" ht="24" customHeight="1" x14ac:dyDescent="0.25">
      <c r="A239" s="225" t="s">
        <v>18</v>
      </c>
      <c r="B239" s="266"/>
      <c r="C239" s="119">
        <v>935</v>
      </c>
      <c r="D239" s="4">
        <f t="shared" ref="D239:T239" si="97">SUM(D232:D238)</f>
        <v>35.478000000000009</v>
      </c>
      <c r="E239" s="4">
        <f t="shared" si="97"/>
        <v>38.214999999999996</v>
      </c>
      <c r="F239" s="4">
        <f t="shared" si="97"/>
        <v>158.42500000000001</v>
      </c>
      <c r="G239" s="4">
        <f t="shared" si="97"/>
        <v>1119.547</v>
      </c>
      <c r="H239" s="5">
        <f t="shared" si="97"/>
        <v>0.32000000000000006</v>
      </c>
      <c r="I239" s="5">
        <f t="shared" si="97"/>
        <v>16.940000000000001</v>
      </c>
      <c r="J239" s="5">
        <f t="shared" si="97"/>
        <v>324.79999999999995</v>
      </c>
      <c r="K239" s="5">
        <f t="shared" si="97"/>
        <v>0.47499999999999998</v>
      </c>
      <c r="L239" s="5">
        <f t="shared" si="97"/>
        <v>2.5819999999999999</v>
      </c>
      <c r="M239" s="5">
        <f t="shared" si="97"/>
        <v>494.6</v>
      </c>
      <c r="N239" s="5">
        <f t="shared" si="97"/>
        <v>126.38</v>
      </c>
      <c r="O239" s="5">
        <f t="shared" si="97"/>
        <v>561.06999999999994</v>
      </c>
      <c r="P239" s="5">
        <f t="shared" si="97"/>
        <v>6.6300000000000008</v>
      </c>
      <c r="Q239" s="5">
        <f t="shared" si="97"/>
        <v>507.95999999999992</v>
      </c>
      <c r="R239" s="5">
        <f t="shared" si="97"/>
        <v>2.5000000000000001E-2</v>
      </c>
      <c r="S239" s="5">
        <f t="shared" si="97"/>
        <v>3.0800000000000001E-2</v>
      </c>
      <c r="T239" s="5">
        <f t="shared" si="97"/>
        <v>3.8039999999999998</v>
      </c>
    </row>
    <row r="240" spans="1:20" ht="24" customHeight="1" x14ac:dyDescent="0.25">
      <c r="A240" s="244" t="s">
        <v>40</v>
      </c>
      <c r="B240" s="244"/>
      <c r="C240" s="244"/>
      <c r="D240" s="244"/>
      <c r="E240" s="244"/>
      <c r="F240" s="244"/>
      <c r="G240" s="244"/>
      <c r="H240" s="244"/>
      <c r="I240" s="244"/>
      <c r="J240" s="244"/>
      <c r="K240" s="244"/>
      <c r="L240" s="244"/>
      <c r="M240" s="244"/>
      <c r="N240" s="244"/>
      <c r="O240" s="244"/>
      <c r="P240" s="244"/>
      <c r="Q240" s="120"/>
      <c r="R240" s="120"/>
      <c r="S240" s="120"/>
      <c r="T240" s="120"/>
    </row>
    <row r="241" spans="1:20" x14ac:dyDescent="0.25">
      <c r="A241" s="197" t="s">
        <v>111</v>
      </c>
      <c r="B241" s="198" t="s">
        <v>58</v>
      </c>
      <c r="C241" s="199">
        <v>75</v>
      </c>
      <c r="D241" s="199">
        <v>7.6</v>
      </c>
      <c r="E241" s="199">
        <v>7.84</v>
      </c>
      <c r="F241" s="199">
        <v>9.4</v>
      </c>
      <c r="G241" s="199">
        <f>F241*4+E241*9+D241*4</f>
        <v>138.56</v>
      </c>
      <c r="H241" s="199">
        <v>0.06</v>
      </c>
      <c r="I241" s="199">
        <v>2.6</v>
      </c>
      <c r="J241" s="199">
        <v>114</v>
      </c>
      <c r="K241" s="199">
        <v>0.3</v>
      </c>
      <c r="L241" s="199">
        <v>0.7</v>
      </c>
      <c r="M241" s="199">
        <v>140</v>
      </c>
      <c r="N241" s="199">
        <v>23</v>
      </c>
      <c r="O241" s="199">
        <v>120</v>
      </c>
      <c r="P241" s="200">
        <v>0.2</v>
      </c>
      <c r="Q241" s="194">
        <v>146</v>
      </c>
      <c r="R241" s="194">
        <v>8.9999999999999993E-3</v>
      </c>
      <c r="S241" s="194">
        <v>2.0000000000000001E-4</v>
      </c>
      <c r="T241" s="194">
        <v>2E-3</v>
      </c>
    </row>
    <row r="242" spans="1:20" x14ac:dyDescent="0.25">
      <c r="A242" s="48"/>
      <c r="B242" s="198" t="s">
        <v>237</v>
      </c>
      <c r="C242" s="199">
        <v>20</v>
      </c>
      <c r="D242" s="199">
        <v>2.4</v>
      </c>
      <c r="E242" s="199">
        <v>1.02</v>
      </c>
      <c r="F242" s="199">
        <v>18.100000000000001</v>
      </c>
      <c r="G242" s="199">
        <f t="shared" ref="G242:G244" si="98">F242*4+E242*9+D242*4</f>
        <v>91.18</v>
      </c>
      <c r="H242" s="199">
        <v>0.06</v>
      </c>
      <c r="I242" s="199">
        <v>4</v>
      </c>
      <c r="J242" s="199">
        <v>39</v>
      </c>
      <c r="K242" s="199">
        <v>0.04</v>
      </c>
      <c r="L242" s="199">
        <v>0.8</v>
      </c>
      <c r="M242" s="199">
        <v>6</v>
      </c>
      <c r="N242" s="199">
        <v>0</v>
      </c>
      <c r="O242" s="199">
        <v>10</v>
      </c>
      <c r="P242" s="200">
        <v>0</v>
      </c>
      <c r="Q242" s="194">
        <v>39</v>
      </c>
      <c r="R242" s="194">
        <v>0</v>
      </c>
      <c r="S242" s="194">
        <v>0</v>
      </c>
      <c r="T242" s="194">
        <v>0.02</v>
      </c>
    </row>
    <row r="243" spans="1:20" x14ac:dyDescent="0.25">
      <c r="A243" s="196" t="s">
        <v>99</v>
      </c>
      <c r="B243" s="198" t="s">
        <v>160</v>
      </c>
      <c r="C243" s="199" t="s">
        <v>56</v>
      </c>
      <c r="D243" s="199">
        <v>0.48</v>
      </c>
      <c r="E243" s="199">
        <v>0.48</v>
      </c>
      <c r="F243" s="199">
        <v>11.86</v>
      </c>
      <c r="G243" s="199">
        <f t="shared" si="98"/>
        <v>53.68</v>
      </c>
      <c r="H243" s="202">
        <v>0.03</v>
      </c>
      <c r="I243" s="202">
        <v>10</v>
      </c>
      <c r="J243" s="202">
        <v>0.03</v>
      </c>
      <c r="K243" s="202">
        <v>0.02</v>
      </c>
      <c r="L243" s="202">
        <v>0</v>
      </c>
      <c r="M243" s="202">
        <v>9.5</v>
      </c>
      <c r="N243" s="202">
        <v>7</v>
      </c>
      <c r="O243" s="202">
        <v>9.5</v>
      </c>
      <c r="P243" s="201">
        <v>1.2</v>
      </c>
      <c r="Q243" s="194">
        <v>0.4</v>
      </c>
      <c r="R243" s="194">
        <v>1.7000000000000001E-2</v>
      </c>
      <c r="S243" s="194">
        <v>0</v>
      </c>
      <c r="T243" s="194">
        <v>0.5</v>
      </c>
    </row>
    <row r="244" spans="1:20" x14ac:dyDescent="0.25">
      <c r="A244" s="196"/>
      <c r="B244" s="18" t="s">
        <v>184</v>
      </c>
      <c r="C244" s="195">
        <v>65</v>
      </c>
      <c r="D244" s="195">
        <v>2.9</v>
      </c>
      <c r="E244" s="195">
        <v>2.1</v>
      </c>
      <c r="F244" s="195">
        <v>11.34</v>
      </c>
      <c r="G244" s="199">
        <f t="shared" si="98"/>
        <v>75.86</v>
      </c>
      <c r="H244" s="202">
        <v>0.03</v>
      </c>
      <c r="I244" s="202">
        <v>10</v>
      </c>
      <c r="J244" s="202">
        <v>0.03</v>
      </c>
      <c r="K244" s="202">
        <v>0.02</v>
      </c>
      <c r="L244" s="202">
        <v>0</v>
      </c>
      <c r="M244" s="202">
        <v>9.5</v>
      </c>
      <c r="N244" s="202">
        <v>7</v>
      </c>
      <c r="O244" s="202">
        <v>9.5</v>
      </c>
      <c r="P244" s="201">
        <v>1.2</v>
      </c>
      <c r="Q244" s="194">
        <v>0.4</v>
      </c>
      <c r="R244" s="194">
        <v>1.7000000000000001E-2</v>
      </c>
      <c r="S244" s="194">
        <v>0</v>
      </c>
      <c r="T244" s="194">
        <v>0.06</v>
      </c>
    </row>
    <row r="245" spans="1:20" ht="24" customHeight="1" x14ac:dyDescent="0.25">
      <c r="A245" s="244" t="s">
        <v>18</v>
      </c>
      <c r="B245" s="245"/>
      <c r="C245" s="119">
        <v>370</v>
      </c>
      <c r="D245" s="4">
        <f>SUM(D241:D244)</f>
        <v>13.38</v>
      </c>
      <c r="E245" s="4">
        <f t="shared" ref="E245:G245" si="99">SUM(E241:E244)</f>
        <v>11.44</v>
      </c>
      <c r="F245" s="4">
        <f t="shared" si="99"/>
        <v>50.7</v>
      </c>
      <c r="G245" s="4">
        <f t="shared" si="99"/>
        <v>359.28000000000003</v>
      </c>
      <c r="H245" s="38">
        <f t="shared" ref="H245" si="100">H241+H244</f>
        <v>0.09</v>
      </c>
      <c r="I245" s="38">
        <f>SUM(I241:I244)</f>
        <v>26.6</v>
      </c>
      <c r="J245" s="38">
        <f t="shared" ref="J245:T245" si="101">SUM(J241:J244)</f>
        <v>153.06</v>
      </c>
      <c r="K245" s="38">
        <f t="shared" si="101"/>
        <v>0.38</v>
      </c>
      <c r="L245" s="38">
        <f t="shared" si="101"/>
        <v>1.5</v>
      </c>
      <c r="M245" s="38">
        <f t="shared" si="101"/>
        <v>165</v>
      </c>
      <c r="N245" s="38">
        <f t="shared" si="101"/>
        <v>37</v>
      </c>
      <c r="O245" s="38">
        <f t="shared" si="101"/>
        <v>149</v>
      </c>
      <c r="P245" s="38">
        <f t="shared" si="101"/>
        <v>2.5999999999999996</v>
      </c>
      <c r="Q245" s="38">
        <f t="shared" si="101"/>
        <v>185.8</v>
      </c>
      <c r="R245" s="38">
        <f t="shared" si="101"/>
        <v>4.3000000000000003E-2</v>
      </c>
      <c r="S245" s="38">
        <f t="shared" si="101"/>
        <v>2.0000000000000001E-4</v>
      </c>
      <c r="T245" s="38">
        <f t="shared" si="101"/>
        <v>0.58200000000000007</v>
      </c>
    </row>
    <row r="246" spans="1:20" ht="24" customHeight="1" x14ac:dyDescent="0.25">
      <c r="A246" s="244" t="s">
        <v>20</v>
      </c>
      <c r="B246" s="245"/>
      <c r="C246" s="44">
        <f>+C230+C239+C245</f>
        <v>1860</v>
      </c>
      <c r="D246" s="4">
        <f t="shared" ref="D246:T246" si="102">D230+D239+D245</f>
        <v>72.878</v>
      </c>
      <c r="E246" s="4">
        <f t="shared" si="102"/>
        <v>72.484999999999999</v>
      </c>
      <c r="F246" s="4">
        <f t="shared" si="102"/>
        <v>307.97500000000002</v>
      </c>
      <c r="G246" s="4">
        <f t="shared" si="102"/>
        <v>2175.777</v>
      </c>
      <c r="H246" s="37">
        <f t="shared" si="102"/>
        <v>0.86</v>
      </c>
      <c r="I246" s="37">
        <f t="shared" si="102"/>
        <v>52.25</v>
      </c>
      <c r="J246" s="37">
        <f t="shared" si="102"/>
        <v>729.8599999999999</v>
      </c>
      <c r="K246" s="37">
        <f t="shared" si="102"/>
        <v>0.998</v>
      </c>
      <c r="L246" s="142">
        <f t="shared" si="102"/>
        <v>7.5819999999999999</v>
      </c>
      <c r="M246" s="37">
        <f t="shared" si="102"/>
        <v>939.16000000000008</v>
      </c>
      <c r="N246" s="37">
        <f t="shared" si="102"/>
        <v>247.39000000000001</v>
      </c>
      <c r="O246" s="37">
        <f t="shared" si="102"/>
        <v>950.20999999999992</v>
      </c>
      <c r="P246" s="37">
        <f t="shared" si="102"/>
        <v>13.503000000000002</v>
      </c>
      <c r="Q246" s="37">
        <f t="shared" si="102"/>
        <v>940.06</v>
      </c>
      <c r="R246" s="37">
        <f t="shared" si="102"/>
        <v>7.5000000000000011E-2</v>
      </c>
      <c r="S246" s="37">
        <f t="shared" si="102"/>
        <v>3.7899999999999996E-2</v>
      </c>
      <c r="T246" s="37">
        <f t="shared" si="102"/>
        <v>4.9189999999999996</v>
      </c>
    </row>
    <row r="247" spans="1:20" ht="24" customHeight="1" x14ac:dyDescent="0.25">
      <c r="A247" s="280" t="s">
        <v>90</v>
      </c>
      <c r="B247" s="280"/>
      <c r="C247" s="280"/>
      <c r="D247" s="280"/>
      <c r="E247" s="280"/>
      <c r="F247" s="280"/>
      <c r="G247" s="280"/>
      <c r="H247" s="280"/>
      <c r="I247" s="280"/>
      <c r="J247" s="280"/>
      <c r="K247" s="280"/>
      <c r="L247" s="280"/>
      <c r="M247" s="280"/>
      <c r="N247" s="280"/>
      <c r="O247" s="280"/>
      <c r="P247" s="280"/>
      <c r="Q247" s="120"/>
      <c r="R247" s="120"/>
      <c r="S247" s="120"/>
      <c r="T247" s="120"/>
    </row>
    <row r="248" spans="1:20" ht="24" customHeight="1" x14ac:dyDescent="0.25">
      <c r="A248" s="130"/>
      <c r="B248" s="120"/>
      <c r="C248" s="259" t="s">
        <v>152</v>
      </c>
      <c r="D248" s="242" t="s">
        <v>6</v>
      </c>
      <c r="E248" s="242"/>
      <c r="F248" s="242"/>
      <c r="G248" s="241" t="s">
        <v>76</v>
      </c>
      <c r="H248" s="284" t="s">
        <v>14</v>
      </c>
      <c r="I248" s="284"/>
      <c r="J248" s="284"/>
      <c r="K248" s="284"/>
      <c r="L248" s="128"/>
      <c r="M248" s="284" t="s">
        <v>15</v>
      </c>
      <c r="N248" s="284"/>
      <c r="O248" s="284"/>
      <c r="P248" s="284"/>
      <c r="Q248" s="284"/>
      <c r="R248" s="284"/>
      <c r="S248" s="284"/>
      <c r="T248" s="284"/>
    </row>
    <row r="249" spans="1:20" ht="42.75" customHeight="1" x14ac:dyDescent="0.25">
      <c r="A249" s="49"/>
      <c r="B249" s="121"/>
      <c r="C249" s="259"/>
      <c r="D249" s="117" t="s">
        <v>3</v>
      </c>
      <c r="E249" s="117" t="s">
        <v>4</v>
      </c>
      <c r="F249" s="117" t="s">
        <v>5</v>
      </c>
      <c r="G249" s="242"/>
      <c r="H249" s="61" t="s">
        <v>7</v>
      </c>
      <c r="I249" s="61" t="s">
        <v>8</v>
      </c>
      <c r="J249" s="61" t="s">
        <v>9</v>
      </c>
      <c r="K249" s="61" t="s">
        <v>146</v>
      </c>
      <c r="L249" s="65" t="s">
        <v>151</v>
      </c>
      <c r="M249" s="61" t="s">
        <v>10</v>
      </c>
      <c r="N249" s="61" t="s">
        <v>11</v>
      </c>
      <c r="O249" s="61" t="s">
        <v>12</v>
      </c>
      <c r="P249" s="61" t="s">
        <v>13</v>
      </c>
      <c r="Q249" s="120" t="s">
        <v>147</v>
      </c>
      <c r="R249" s="120" t="s">
        <v>148</v>
      </c>
      <c r="S249" s="120" t="s">
        <v>149</v>
      </c>
      <c r="T249" s="120" t="s">
        <v>150</v>
      </c>
    </row>
    <row r="250" spans="1:20" ht="24" customHeight="1" x14ac:dyDescent="0.25">
      <c r="A250" s="56" t="s">
        <v>17</v>
      </c>
      <c r="B250" s="22"/>
      <c r="C250" s="23">
        <f>SUM(C12+C35+C57+C80+C103+C141+C163+C185+C208+C230)/10</f>
        <v>573</v>
      </c>
      <c r="D250" s="24">
        <f>(D12+D35+D57+D80+D103+D141+D163+D185+D208+D230)/10</f>
        <v>23.159600000000005</v>
      </c>
      <c r="E250" s="24">
        <f>(E230+E208+E185+E163+E141+E103+E80+E57+E35+E12)/10</f>
        <v>23.922000000000001</v>
      </c>
      <c r="F250" s="24">
        <f>(F12+F35+F57+F80+F103+F141+F163+F185+F208+F230)/10</f>
        <v>97.96850000000002</v>
      </c>
      <c r="G250" s="24">
        <f>(G12+G35+G57+G80+G103+G141+G163+G185+G208+G230)/10</f>
        <v>700.55099999999993</v>
      </c>
      <c r="H250" s="39">
        <f t="shared" ref="H250:T250" si="103">SUM(H12+H35+H57+H80+H103+H141+H163+H185+H208+H230)/10</f>
        <v>0.40499999999999997</v>
      </c>
      <c r="I250" s="39">
        <f t="shared" si="103"/>
        <v>12.620000000000001</v>
      </c>
      <c r="J250" s="39">
        <f t="shared" si="103"/>
        <v>239.37999999999997</v>
      </c>
      <c r="K250" s="39">
        <f t="shared" si="103"/>
        <v>0.40971999999999997</v>
      </c>
      <c r="L250" s="39">
        <f t="shared" si="103"/>
        <v>2.1940999999999997</v>
      </c>
      <c r="M250" s="39">
        <f t="shared" si="103"/>
        <v>310.18299999999999</v>
      </c>
      <c r="N250" s="39">
        <f t="shared" si="103"/>
        <v>91.912000000000006</v>
      </c>
      <c r="O250" s="39">
        <f t="shared" si="103"/>
        <v>316.93899999999996</v>
      </c>
      <c r="P250" s="39">
        <f t="shared" si="103"/>
        <v>4.5846999999999998</v>
      </c>
      <c r="Q250" s="39">
        <f t="shared" si="103"/>
        <v>299.78399999999999</v>
      </c>
      <c r="R250" s="39">
        <f t="shared" si="103"/>
        <v>2.1139999999999999E-2</v>
      </c>
      <c r="S250" s="39">
        <f t="shared" si="103"/>
        <v>1.413E-2</v>
      </c>
      <c r="T250" s="39">
        <f t="shared" si="103"/>
        <v>0.87497999999999987</v>
      </c>
    </row>
    <row r="251" spans="1:20" ht="24" customHeight="1" x14ac:dyDescent="0.25">
      <c r="A251" s="56" t="s">
        <v>23</v>
      </c>
      <c r="B251" s="22"/>
      <c r="C251" s="23">
        <f>SUM(C21+C44+C66+C89+C112+C149+C171+C194+C217+C239)/10</f>
        <v>889.5</v>
      </c>
      <c r="D251" s="24">
        <f>(D239+D217+D194+D171+D149+D112+D89+D66+D44+D21)/10</f>
        <v>35.616799999999998</v>
      </c>
      <c r="E251" s="24">
        <f>(E239+E217+E194+E171+E149+E112+E89+E66+E44+E21)/10</f>
        <v>37.143500000000003</v>
      </c>
      <c r="F251" s="24">
        <f>(F239+F217+F194+F171+F149+F112+F89+F66+F44+F21)/10</f>
        <v>139.09610000000004</v>
      </c>
      <c r="G251" s="24">
        <f>(G239+G217+G194+G171+G149+G112+G89+G66+G44+G21)/10</f>
        <v>1040.5328</v>
      </c>
      <c r="H251" s="39">
        <f t="shared" ref="H251:T251" si="104">SUM(H21+H44+H66+H112+H149+H171+H194+H217+H239)/10</f>
        <v>0.45480000000000009</v>
      </c>
      <c r="I251" s="39">
        <f t="shared" si="104"/>
        <v>26.410000000000004</v>
      </c>
      <c r="J251" s="39">
        <f t="shared" si="104"/>
        <v>310.65100000000001</v>
      </c>
      <c r="K251" s="39">
        <f t="shared" si="104"/>
        <v>0.53059999999999996</v>
      </c>
      <c r="L251" s="39">
        <f t="shared" si="104"/>
        <v>3.8932000000000002</v>
      </c>
      <c r="M251" s="39">
        <f t="shared" si="104"/>
        <v>343.34500000000003</v>
      </c>
      <c r="N251" s="39">
        <f t="shared" si="104"/>
        <v>95.492999999999995</v>
      </c>
      <c r="O251" s="39">
        <f t="shared" si="104"/>
        <v>377.80699999999996</v>
      </c>
      <c r="P251" s="39">
        <f t="shared" si="104"/>
        <v>6.3256000000000006</v>
      </c>
      <c r="Q251" s="39">
        <f t="shared" si="104"/>
        <v>434.65899999999993</v>
      </c>
      <c r="R251" s="39">
        <f t="shared" si="104"/>
        <v>3.1580000000000004E-2</v>
      </c>
      <c r="S251" s="39">
        <f t="shared" si="104"/>
        <v>1.7205000000000005E-2</v>
      </c>
      <c r="T251" s="39">
        <f t="shared" si="104"/>
        <v>1.7351999999999996</v>
      </c>
    </row>
    <row r="252" spans="1:20" ht="24" customHeight="1" x14ac:dyDescent="0.25">
      <c r="A252" s="56" t="s">
        <v>40</v>
      </c>
      <c r="B252" s="22"/>
      <c r="C252" s="23">
        <f>SUM(C26+C49+C71+C94+C117+C154+C176+C199+C222+C245)/10</f>
        <v>371</v>
      </c>
      <c r="D252" s="24">
        <f>(D245+D222+D199+D176+D154+D117+D94+D71+D49+D26)/10</f>
        <v>12.808699999999998</v>
      </c>
      <c r="E252" s="24">
        <f>(E245+E222+E199+E176+E154+E117+E94+E71+E49+E26)/10</f>
        <v>11.498999999999999</v>
      </c>
      <c r="F252" s="24">
        <f>(F245+F222+F199+F176+F154+F117+F94+F71+F49+F26)/10</f>
        <v>65.977999999999994</v>
      </c>
      <c r="G252" s="24">
        <f>(G245+G222+G199+G176+G154+G117+G94+G71+G49+G26)/10</f>
        <v>411.89980000000003</v>
      </c>
      <c r="H252" s="39">
        <f t="shared" ref="H252:T252" si="105">SUM(H27+H49+H71+H94+H117+H154+H176+H199+H222+H245)/10</f>
        <v>0.30379999999999996</v>
      </c>
      <c r="I252" s="39">
        <f t="shared" si="105"/>
        <v>19.294500000000003</v>
      </c>
      <c r="J252" s="39">
        <f t="shared" si="105"/>
        <v>188.27899999999997</v>
      </c>
      <c r="K252" s="39">
        <f t="shared" si="105"/>
        <v>0.39085000000000003</v>
      </c>
      <c r="L252" s="39">
        <f t="shared" si="105"/>
        <v>2.0220000000000002</v>
      </c>
      <c r="M252" s="39">
        <f t="shared" si="105"/>
        <v>315.17699999999996</v>
      </c>
      <c r="N252" s="39">
        <f t="shared" si="105"/>
        <v>58.072000000000003</v>
      </c>
      <c r="O252" s="39">
        <f t="shared" si="105"/>
        <v>284.51599999999996</v>
      </c>
      <c r="P252" s="39">
        <f t="shared" si="105"/>
        <v>3.7940999999999994</v>
      </c>
      <c r="Q252" s="39">
        <f t="shared" si="105"/>
        <v>236.017</v>
      </c>
      <c r="R252" s="39">
        <f t="shared" si="105"/>
        <v>3.1699999999999999E-2</v>
      </c>
      <c r="S252" s="39">
        <f t="shared" si="105"/>
        <v>8.9700000000000023E-3</v>
      </c>
      <c r="T252" s="39">
        <f t="shared" si="105"/>
        <v>0.99360000000000037</v>
      </c>
    </row>
    <row r="253" spans="1:20" ht="24" customHeight="1" x14ac:dyDescent="0.25">
      <c r="A253" s="56" t="s">
        <v>53</v>
      </c>
      <c r="B253" s="22"/>
      <c r="C253" s="23">
        <f>SUM(C27+C50+C72+C95+C118+C155+C177+C200+C223+C246)/10</f>
        <v>1833.5</v>
      </c>
      <c r="D253" s="24">
        <f>SUM(D250:D252)</f>
        <v>71.585099999999997</v>
      </c>
      <c r="E253" s="24">
        <f>SUM(E250:E252)</f>
        <v>72.564499999999995</v>
      </c>
      <c r="F253" s="24">
        <f>SUM(F250:F252)</f>
        <v>303.04260000000005</v>
      </c>
      <c r="G253" s="24">
        <f>SUM(G250:G252)</f>
        <v>2152.9836</v>
      </c>
      <c r="H253" s="24">
        <f>SUM(H27+H50+H72+H95+H118+H155+H177+H200+H223+H246)/10</f>
        <v>1.1104000000000001</v>
      </c>
      <c r="I253" s="24">
        <f>SUM(I27+I50+I72+I95+I118+I155+I177+I200+I223+I246)/10</f>
        <v>55.608999999999995</v>
      </c>
      <c r="J253" s="24">
        <f>SUM(J27+J50+J72+J95+J118+J155+J177+J200+J223+J246)/10</f>
        <v>710.99700000000007</v>
      </c>
      <c r="K253" s="24">
        <f>SUM(K27+K50+K72+K95+K118+K155+K177+K200+K223+K246)/10</f>
        <v>1.28287</v>
      </c>
      <c r="L253" s="24">
        <f>SUM(L27+L50+L72+L95+L118+L155+L177+L200+L223+L246)/10</f>
        <v>7.9375</v>
      </c>
      <c r="M253" s="24">
        <f>SUM(M27+M50+M72+M95+M118+M155+M177+M200+M246+M223)/10</f>
        <v>945.46800000000007</v>
      </c>
      <c r="N253" s="24">
        <f t="shared" ref="N253:S253" si="106">SUM(N27+N50+N72+N95+N118+N155+N177+N200+N223+N246)/10</f>
        <v>238.04299999999998</v>
      </c>
      <c r="O253" s="24">
        <f t="shared" si="106"/>
        <v>946.93900000000008</v>
      </c>
      <c r="P253" s="24">
        <f t="shared" si="106"/>
        <v>14.196600000000004</v>
      </c>
      <c r="Q253" s="24">
        <f t="shared" si="106"/>
        <v>945.39599999999996</v>
      </c>
      <c r="R253" s="24">
        <f t="shared" si="106"/>
        <v>8.1630000000000008E-2</v>
      </c>
      <c r="S253" s="24">
        <f t="shared" si="106"/>
        <v>3.9754999999999999E-2</v>
      </c>
      <c r="T253" s="24">
        <f t="shared" ref="T253" si="107">SUM(T27+T50+T72+T95+T118+T149+T177+T200+T217+T246)/10</f>
        <v>3.0616700000000003</v>
      </c>
    </row>
    <row r="254" spans="1:20" ht="24" customHeight="1" x14ac:dyDescent="0.25">
      <c r="A254" s="283" t="s">
        <v>52</v>
      </c>
      <c r="B254" s="283"/>
      <c r="C254" s="283"/>
      <c r="D254" s="283"/>
      <c r="E254" s="283"/>
      <c r="F254" s="283"/>
      <c r="G254" s="283"/>
      <c r="H254" s="283"/>
      <c r="I254" s="283"/>
      <c r="J254" s="283"/>
      <c r="K254" s="283"/>
      <c r="L254" s="283"/>
      <c r="M254" s="283"/>
      <c r="N254" s="283"/>
      <c r="O254" s="283"/>
      <c r="P254" s="283"/>
      <c r="Q254" s="283"/>
      <c r="R254" s="283"/>
      <c r="S254" s="283"/>
      <c r="T254" s="283"/>
    </row>
    <row r="255" spans="1:20" ht="24" customHeight="1" x14ac:dyDescent="0.25">
      <c r="A255" s="56" t="s">
        <v>17</v>
      </c>
      <c r="B255" s="22"/>
      <c r="C255" s="86">
        <f>SUM(C250/550*100)</f>
        <v>104.18181818181817</v>
      </c>
      <c r="D255" s="24">
        <f>D250*100/22.5</f>
        <v>102.93155555555558</v>
      </c>
      <c r="E255" s="24">
        <f>E250*100/23</f>
        <v>104.00869565217393</v>
      </c>
      <c r="F255" s="24">
        <f>F250*100/95.75</f>
        <v>102.31697127937339</v>
      </c>
      <c r="G255" s="24">
        <f>G250*100/680</f>
        <v>103.02220588235294</v>
      </c>
      <c r="H255" s="24">
        <f>SUM(H250*100/0.35)</f>
        <v>115.71428571428572</v>
      </c>
      <c r="I255" s="24">
        <f>SUM(I250*100/17.5)</f>
        <v>72.114285714285714</v>
      </c>
      <c r="J255" s="24">
        <f>SUM(J250*100/225)</f>
        <v>106.3911111111111</v>
      </c>
      <c r="K255" s="135">
        <f>95</f>
        <v>95</v>
      </c>
      <c r="L255" s="24">
        <f>SUM(L250*100/2.5)</f>
        <v>87.763999999999982</v>
      </c>
      <c r="M255" s="24">
        <f>SUM(M250*100/300)</f>
        <v>103.39433333333334</v>
      </c>
      <c r="N255" s="24">
        <f>SUM(N250*100/75)</f>
        <v>122.54933333333334</v>
      </c>
      <c r="O255" s="24">
        <f>SUM(O250*100/300)</f>
        <v>105.64633333333333</v>
      </c>
      <c r="P255" s="24">
        <f>SUM(P250*100/4.5)</f>
        <v>101.88222222222221</v>
      </c>
      <c r="Q255" s="24">
        <f>SUM(Q250*100/300)</f>
        <v>99.927999999999997</v>
      </c>
      <c r="R255" s="24">
        <f>SUM(R250*100/0.025)</f>
        <v>84.559999999999988</v>
      </c>
      <c r="S255" s="24">
        <f>SUM(S250*100/0.0125)</f>
        <v>113.03999999999999</v>
      </c>
      <c r="T255" s="24">
        <f>SUM(T250*100/1)</f>
        <v>87.49799999999999</v>
      </c>
    </row>
    <row r="256" spans="1:20" ht="24" customHeight="1" x14ac:dyDescent="0.25">
      <c r="A256" s="56" t="s">
        <v>19</v>
      </c>
      <c r="B256" s="22"/>
      <c r="C256" s="86">
        <f>SUM(C251/800*100)</f>
        <v>111.1875</v>
      </c>
      <c r="D256" s="24">
        <f>D251*100/31.5</f>
        <v>113.06920634920634</v>
      </c>
      <c r="E256" s="24">
        <f>E251*100/32.2</f>
        <v>115.3524844720497</v>
      </c>
      <c r="F256" s="24">
        <f>F251*100/134.05</f>
        <v>103.7643416635584</v>
      </c>
      <c r="G256" s="24">
        <f>G251*100/952</f>
        <v>109.29966386554622</v>
      </c>
      <c r="H256" s="24">
        <f>SUM(H251*100/0.49)</f>
        <v>92.816326530612272</v>
      </c>
      <c r="I256" s="24">
        <f>SUM(I251*100/24.5)</f>
        <v>107.79591836734696</v>
      </c>
      <c r="J256" s="24">
        <f>SUM(J251*100/315)</f>
        <v>98.619365079365082</v>
      </c>
      <c r="K256" s="135">
        <v>99</v>
      </c>
      <c r="L256" s="24">
        <f>SUM(L251*100/3.5)</f>
        <v>111.23428571428573</v>
      </c>
      <c r="M256" s="24">
        <f>SUM(M251*100/420)</f>
        <v>81.748809523809527</v>
      </c>
      <c r="N256" s="24">
        <f>SUM(N251*100/105)</f>
        <v>90.945714285714274</v>
      </c>
      <c r="O256" s="24">
        <f>SUM(O251*100/420)</f>
        <v>89.954047619047614</v>
      </c>
      <c r="P256" s="24">
        <f>SUM(P251*100/6.3)</f>
        <v>100.40634920634922</v>
      </c>
      <c r="Q256" s="24">
        <f>SUM(Q251*100/420)</f>
        <v>103.49023809523808</v>
      </c>
      <c r="R256" s="24">
        <f>SUM(R251*100/0.35)</f>
        <v>9.0228571428571449</v>
      </c>
      <c r="S256" s="24">
        <f>SUM(S251*100/0.0175)</f>
        <v>98.314285714285745</v>
      </c>
      <c r="T256" s="24">
        <f>SUM(T251*100/1.4)</f>
        <v>123.94285714285712</v>
      </c>
    </row>
    <row r="257" spans="1:20" ht="24" customHeight="1" x14ac:dyDescent="0.25">
      <c r="A257" s="56" t="s">
        <v>40</v>
      </c>
      <c r="B257" s="22"/>
      <c r="C257" s="86">
        <f>SUM(C252/350*100)</f>
        <v>106</v>
      </c>
      <c r="D257" s="24">
        <f>D252*100/13.5</f>
        <v>94.879259259259257</v>
      </c>
      <c r="E257" s="24">
        <f>E252*100/13.8</f>
        <v>83.326086956521721</v>
      </c>
      <c r="F257" s="24">
        <f>F252*100/57.45</f>
        <v>114.84421235857265</v>
      </c>
      <c r="G257" s="24">
        <f>G252*100/408</f>
        <v>100.95583333333335</v>
      </c>
      <c r="H257" s="24">
        <f>SUM(H252*100/0.21)</f>
        <v>144.66666666666666</v>
      </c>
      <c r="I257" s="24">
        <f>SUM(I252*100/10.5)</f>
        <v>183.7571428571429</v>
      </c>
      <c r="J257" s="24">
        <f>SUM(J252*100/135)</f>
        <v>139.46592592592592</v>
      </c>
      <c r="K257" s="135">
        <v>101</v>
      </c>
      <c r="L257" s="24">
        <f>SUM(L252*100/1.5)</f>
        <v>134.80000000000001</v>
      </c>
      <c r="M257" s="24">
        <f>SUM(M252*100/180)</f>
        <v>175.09833333333333</v>
      </c>
      <c r="N257" s="24">
        <f>SUM(N252*100/45)</f>
        <v>129.04888888888891</v>
      </c>
      <c r="O257" s="24">
        <f>SUM(O252*100/180)</f>
        <v>158.0644444444444</v>
      </c>
      <c r="P257" s="24">
        <f>SUM(P252*100/2.7)</f>
        <v>140.52222222222218</v>
      </c>
      <c r="Q257" s="24">
        <f>SUM(Q252*100/180)</f>
        <v>131.12055555555557</v>
      </c>
      <c r="R257" s="134">
        <f>SUM(R252*100/0.15)</f>
        <v>21.133333333333333</v>
      </c>
      <c r="S257" s="24">
        <f>SUM(S252*100/0.075)</f>
        <v>11.960000000000004</v>
      </c>
      <c r="T257" s="24">
        <v>94</v>
      </c>
    </row>
    <row r="258" spans="1:20" ht="24" customHeight="1" x14ac:dyDescent="0.25">
      <c r="A258" s="57" t="s">
        <v>55</v>
      </c>
      <c r="B258" s="26"/>
      <c r="C258" s="27">
        <v>1700</v>
      </c>
      <c r="D258" s="27">
        <v>67.5</v>
      </c>
      <c r="E258" s="27">
        <v>69</v>
      </c>
      <c r="F258" s="27">
        <v>287.5</v>
      </c>
      <c r="G258" s="27">
        <v>2040</v>
      </c>
      <c r="H258" s="27">
        <v>1.05</v>
      </c>
      <c r="I258" s="27">
        <v>52.5</v>
      </c>
      <c r="J258" s="27">
        <v>675</v>
      </c>
      <c r="K258" s="27">
        <v>1.2</v>
      </c>
      <c r="L258" s="27">
        <v>7.5</v>
      </c>
      <c r="M258" s="27">
        <v>900</v>
      </c>
      <c r="N258" s="27">
        <v>225</v>
      </c>
      <c r="O258" s="27">
        <v>900</v>
      </c>
      <c r="P258" s="27">
        <v>13.5</v>
      </c>
      <c r="Q258" s="27">
        <v>900</v>
      </c>
      <c r="R258" s="27">
        <v>7.4999999999999997E-2</v>
      </c>
      <c r="S258" s="207">
        <v>3.7499999999999999E-2</v>
      </c>
      <c r="T258" s="27">
        <v>3</v>
      </c>
    </row>
    <row r="259" spans="1:20" ht="41.45" customHeight="1" x14ac:dyDescent="0.25">
      <c r="A259" s="57" t="s">
        <v>54</v>
      </c>
      <c r="B259" s="26"/>
      <c r="C259" s="27">
        <f>SUM(C253/C258*100)</f>
        <v>107.85294117647059</v>
      </c>
      <c r="D259" s="27">
        <f>D253*100/D258</f>
        <v>106.05199999999999</v>
      </c>
      <c r="E259" s="27">
        <f>E253*100/E258</f>
        <v>105.1659420289855</v>
      </c>
      <c r="F259" s="27">
        <f>F253*100/F258</f>
        <v>105.40612173913046</v>
      </c>
      <c r="G259" s="27">
        <f>G253*100/G258</f>
        <v>105.53841176470588</v>
      </c>
      <c r="H259" s="27">
        <f>SUM(H253*100/1.05)</f>
        <v>105.75238095238096</v>
      </c>
      <c r="I259" s="27">
        <f>SUM(I253*100/52.5)</f>
        <v>105.92190476190476</v>
      </c>
      <c r="J259" s="27">
        <f>SUM(J253*100/675)</f>
        <v>105.3328888888889</v>
      </c>
      <c r="K259" s="27">
        <f>SUM(K253*100/1.2)</f>
        <v>106.90583333333335</v>
      </c>
      <c r="L259" s="27">
        <f>SUM(L253*100/7.5)</f>
        <v>105.83333333333333</v>
      </c>
      <c r="M259" s="27">
        <f>SUM(M253*100/900)</f>
        <v>105.05200000000001</v>
      </c>
      <c r="N259" s="27">
        <f>SUM(N253*100/225)</f>
        <v>105.79688888888889</v>
      </c>
      <c r="O259" s="27">
        <f>SUM(O253*100/900)</f>
        <v>105.21544444444446</v>
      </c>
      <c r="P259" s="27">
        <f>SUM(P253*100/13.5)</f>
        <v>105.16000000000003</v>
      </c>
      <c r="Q259" s="27">
        <f>Q253*100/Q258</f>
        <v>105.044</v>
      </c>
      <c r="R259" s="27">
        <f>SUM(R253*100/0.075)</f>
        <v>108.84</v>
      </c>
      <c r="S259" s="27">
        <f>SUM(S253*100/0.0375)</f>
        <v>106.01333333333334</v>
      </c>
      <c r="T259" s="27">
        <f>SUM(T253*100/2.9)</f>
        <v>105.57482758620691</v>
      </c>
    </row>
    <row r="260" spans="1:20" s="31" customFormat="1" ht="24" customHeight="1" x14ac:dyDescent="0.25">
      <c r="A260" s="60"/>
      <c r="B260" s="33"/>
      <c r="Q260" s="133"/>
      <c r="R260" s="133"/>
      <c r="S260" s="133"/>
      <c r="T260" s="133"/>
    </row>
    <row r="261" spans="1:20" s="31" customFormat="1" ht="24" customHeight="1" x14ac:dyDescent="0.25">
      <c r="A261" s="60"/>
      <c r="B261" s="33"/>
      <c r="Q261" s="133"/>
      <c r="R261" s="133"/>
      <c r="S261" s="133"/>
      <c r="T261" s="133"/>
    </row>
  </sheetData>
  <mergeCells count="101">
    <mergeCell ref="A195:T195"/>
    <mergeCell ref="A217:B217"/>
    <mergeCell ref="A222:B222"/>
    <mergeCell ref="A239:B239"/>
    <mergeCell ref="A112:B112"/>
    <mergeCell ref="A44:B44"/>
    <mergeCell ref="A89:B89"/>
    <mergeCell ref="A119:T119"/>
    <mergeCell ref="A171:B171"/>
    <mergeCell ref="A141:B141"/>
    <mergeCell ref="A154:B154"/>
    <mergeCell ref="A156:T156"/>
    <mergeCell ref="A142:T142"/>
    <mergeCell ref="A150:T150"/>
    <mergeCell ref="A155:B155"/>
    <mergeCell ref="A163:B163"/>
    <mergeCell ref="A164:P164"/>
    <mergeCell ref="A172:P172"/>
    <mergeCell ref="A176:B176"/>
    <mergeCell ref="A177:B177"/>
    <mergeCell ref="A185:B185"/>
    <mergeCell ref="A157:T157"/>
    <mergeCell ref="A178:T178"/>
    <mergeCell ref="A194:B194"/>
    <mergeCell ref="A254:T254"/>
    <mergeCell ref="A179:T179"/>
    <mergeCell ref="A201:T201"/>
    <mergeCell ref="A202:T202"/>
    <mergeCell ref="A224:T224"/>
    <mergeCell ref="A225:T225"/>
    <mergeCell ref="A223:B223"/>
    <mergeCell ref="A230:B230"/>
    <mergeCell ref="A231:P231"/>
    <mergeCell ref="A240:P240"/>
    <mergeCell ref="A245:B245"/>
    <mergeCell ref="A246:B246"/>
    <mergeCell ref="C248:C249"/>
    <mergeCell ref="M248:T248"/>
    <mergeCell ref="A208:B208"/>
    <mergeCell ref="A209:P209"/>
    <mergeCell ref="A218:P218"/>
    <mergeCell ref="A247:P247"/>
    <mergeCell ref="D248:F248"/>
    <mergeCell ref="G248:G249"/>
    <mergeCell ref="H248:K248"/>
    <mergeCell ref="A186:P186"/>
    <mergeCell ref="A199:B199"/>
    <mergeCell ref="A200:B200"/>
    <mergeCell ref="A127:T127"/>
    <mergeCell ref="A133:T133"/>
    <mergeCell ref="A113:T113"/>
    <mergeCell ref="A134:T134"/>
    <mergeCell ref="A95:B95"/>
    <mergeCell ref="A118:B118"/>
    <mergeCell ref="A117:B117"/>
    <mergeCell ref="A120:P120"/>
    <mergeCell ref="D121:F121"/>
    <mergeCell ref="G121:G122"/>
    <mergeCell ref="H121:K121"/>
    <mergeCell ref="M121:P121"/>
    <mergeCell ref="C121:C122"/>
    <mergeCell ref="A104:T104"/>
    <mergeCell ref="A97:T97"/>
    <mergeCell ref="A103:B103"/>
    <mergeCell ref="A74:T74"/>
    <mergeCell ref="A67:T67"/>
    <mergeCell ref="A66:B66"/>
    <mergeCell ref="A71:B71"/>
    <mergeCell ref="A27:B27"/>
    <mergeCell ref="A35:B35"/>
    <mergeCell ref="A49:B49"/>
    <mergeCell ref="A50:B50"/>
    <mergeCell ref="A57:B57"/>
    <mergeCell ref="A28:T28"/>
    <mergeCell ref="A51:T51"/>
    <mergeCell ref="A36:T36"/>
    <mergeCell ref="A29:T29"/>
    <mergeCell ref="A94:B94"/>
    <mergeCell ref="H2:P2"/>
    <mergeCell ref="A96:T96"/>
    <mergeCell ref="A5:T5"/>
    <mergeCell ref="A6:T6"/>
    <mergeCell ref="A26:B26"/>
    <mergeCell ref="A3:A4"/>
    <mergeCell ref="B3:B4"/>
    <mergeCell ref="C3:C4"/>
    <mergeCell ref="D3:F3"/>
    <mergeCell ref="G3:G4"/>
    <mergeCell ref="A12:B12"/>
    <mergeCell ref="H3:L3"/>
    <mergeCell ref="M3:T3"/>
    <mergeCell ref="A22:T22"/>
    <mergeCell ref="A13:T13"/>
    <mergeCell ref="A73:T73"/>
    <mergeCell ref="A90:T90"/>
    <mergeCell ref="A58:T58"/>
    <mergeCell ref="A52:T52"/>
    <mergeCell ref="A45:T45"/>
    <mergeCell ref="A72:B72"/>
    <mergeCell ref="A80:B80"/>
    <mergeCell ref="A81:T81"/>
  </mergeCells>
  <phoneticPr fontId="13" type="noConversion"/>
  <printOptions horizontalCentered="1" verticalCentered="1"/>
  <pageMargins left="0.11811023622047245" right="0.11811023622047245" top="0.35433070866141736" bottom="0.15748031496062992" header="0" footer="0"/>
  <pageSetup paperSize="9" scale="63" fitToHeight="12" orientation="landscape" r:id="rId1"/>
  <headerFooter>
    <oddHeader>&amp;CПримерный 10 дневный цикличный рацион питания  детей  возраста от 12 лет и старше  в лагерях с дневным пребыванием в период каникул в г.Сесеродвинске</oddHeader>
  </headerFooter>
  <rowBreaks count="11" manualBreakCount="11">
    <brk id="27" max="19" man="1"/>
    <brk id="50" max="19" man="1"/>
    <brk id="72" max="19" man="1"/>
    <brk id="95" max="19" man="1"/>
    <brk id="119" max="19" man="1"/>
    <brk id="132" max="19" man="1"/>
    <brk id="155" max="19" man="1"/>
    <brk id="177" max="19" man="1"/>
    <brk id="200" max="19" man="1"/>
    <brk id="223" max="19" man="1"/>
    <brk id="24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7-11</vt:lpstr>
      <vt:lpstr>от 12-18</vt:lpstr>
      <vt:lpstr>'7-11'!Область_печати</vt:lpstr>
      <vt:lpstr>'от 12-18'!Область_печати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2015-03-30T10:48:33Z</cp:lastPrinted>
  <dcterms:created xsi:type="dcterms:W3CDTF">2006-09-28T05:33:49Z</dcterms:created>
  <dcterms:modified xsi:type="dcterms:W3CDTF">2025-05-27T06:04:53Z</dcterms:modified>
</cp:coreProperties>
</file>